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harts/chart1.xml" ContentType="application/vnd.openxmlformats-officedocument.drawingml.chart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harts/chart2.xml" ContentType="application/vnd.openxmlformats-officedocument.drawingml.chart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3395" windowHeight="6210"/>
  </bookViews>
  <sheets>
    <sheet name="Q1" sheetId="1" r:id="rId1"/>
    <sheet name="Q2" sheetId="2" r:id="rId2"/>
    <sheet name="Q3" sheetId="3" r:id="rId3"/>
    <sheet name="Q4" sheetId="4" r:id="rId4"/>
    <sheet name="Q5" sheetId="5" r:id="rId5"/>
    <sheet name="Q6" sheetId="6" r:id="rId6"/>
    <sheet name="Q7" sheetId="7" r:id="rId7"/>
    <sheet name="Q8" sheetId="8" r:id="rId8"/>
    <sheet name="Q9" sheetId="9" r:id="rId9"/>
    <sheet name="Q10" sheetId="10" r:id="rId10"/>
    <sheet name="Q11" sheetId="11" r:id="rId11"/>
    <sheet name="Q12" sheetId="12" r:id="rId12"/>
    <sheet name="Q13" sheetId="13" r:id="rId13"/>
    <sheet name="Q14" sheetId="14" r:id="rId14"/>
    <sheet name="Q15" sheetId="15" r:id="rId15"/>
    <sheet name="Q16" sheetId="16" r:id="rId16"/>
    <sheet name="Q17" sheetId="17" r:id="rId17"/>
    <sheet name="Q18" sheetId="18" r:id="rId18"/>
    <sheet name="Q19" sheetId="19" r:id="rId19"/>
    <sheet name="Q20" sheetId="20" r:id="rId20"/>
    <sheet name="Q21" sheetId="21" r:id="rId21"/>
    <sheet name="Q22" sheetId="22" r:id="rId22"/>
    <sheet name="Q23" sheetId="23" r:id="rId23"/>
    <sheet name="Q24" sheetId="24" r:id="rId24"/>
    <sheet name="Q25" sheetId="25" r:id="rId25"/>
    <sheet name="Q26" sheetId="26" r:id="rId26"/>
    <sheet name="Q27" sheetId="27" r:id="rId27"/>
    <sheet name="Q28" sheetId="28" r:id="rId28"/>
    <sheet name="Q29" sheetId="29" r:id="rId29"/>
    <sheet name="Q30" sheetId="30" r:id="rId30"/>
    <sheet name="Q31" sheetId="31" r:id="rId31"/>
    <sheet name="Q32" sheetId="32" r:id="rId32"/>
    <sheet name="Q33" sheetId="33" r:id="rId33"/>
    <sheet name="Q34" sheetId="34" r:id="rId34"/>
    <sheet name="Q35" sheetId="35" r:id="rId35"/>
    <sheet name="Q36" sheetId="36" r:id="rId36"/>
    <sheet name="Q37" sheetId="37" r:id="rId37"/>
    <sheet name="Q38" sheetId="38" r:id="rId38"/>
    <sheet name="Q39" sheetId="39" r:id="rId39"/>
    <sheet name="Q40" sheetId="40" r:id="rId40"/>
    <sheet name="Q41" sheetId="41" r:id="rId41"/>
    <sheet name="Output for 42" sheetId="44" r:id="rId42"/>
    <sheet name="Q42" sheetId="42" r:id="rId43"/>
    <sheet name="Q43" sheetId="43" r:id="rId44"/>
    <sheet name="Q44" sheetId="45" r:id="rId45"/>
    <sheet name="Q45" sheetId="46" r:id="rId46"/>
  </sheets>
  <calcPr calcId="144525"/>
</workbook>
</file>

<file path=xl/calcChain.xml><?xml version="1.0" encoding="utf-8"?>
<calcChain xmlns="http://schemas.openxmlformats.org/spreadsheetml/2006/main">
  <c r="D27" i="46" l="1"/>
  <c r="E27" i="46"/>
  <c r="G24" i="46"/>
  <c r="F25" i="46"/>
  <c r="F24" i="46"/>
  <c r="A19" i="46"/>
  <c r="C12" i="46"/>
  <c r="B12" i="46"/>
  <c r="B11" i="46"/>
  <c r="C7" i="46"/>
  <c r="B7" i="46"/>
  <c r="B6" i="46"/>
  <c r="B3" i="46"/>
  <c r="B2" i="46"/>
  <c r="E23" i="45"/>
  <c r="E24" i="45"/>
  <c r="E25" i="45"/>
  <c r="E26" i="45"/>
  <c r="E22" i="45"/>
  <c r="D23" i="45"/>
  <c r="D24" i="45"/>
  <c r="D25" i="45"/>
  <c r="D26" i="45"/>
  <c r="D22" i="45"/>
  <c r="B18" i="45"/>
  <c r="T25" i="43"/>
  <c r="T24" i="43"/>
  <c r="B16" i="45"/>
  <c r="B15" i="45"/>
  <c r="Q18" i="43"/>
  <c r="C11" i="45"/>
  <c r="B11" i="45"/>
  <c r="B10" i="45"/>
  <c r="B9" i="45"/>
  <c r="H9" i="45"/>
  <c r="H2" i="45"/>
  <c r="H3" i="45"/>
  <c r="H4" i="45"/>
  <c r="H5" i="45"/>
  <c r="H6" i="45"/>
  <c r="H1" i="45"/>
  <c r="B2" i="45"/>
  <c r="B2" i="43"/>
  <c r="C3" i="41"/>
  <c r="B4" i="41"/>
  <c r="B3" i="41"/>
  <c r="B2" i="41"/>
  <c r="C3" i="40"/>
  <c r="B3" i="40"/>
  <c r="B2" i="40"/>
  <c r="B2" i="39"/>
  <c r="B3" i="38"/>
  <c r="B2" i="38"/>
  <c r="B4" i="37"/>
  <c r="B3" i="37"/>
  <c r="C2" i="37"/>
  <c r="B2" i="37"/>
  <c r="I21" i="36"/>
  <c r="B2" i="36"/>
  <c r="B2" i="35"/>
  <c r="B3" i="34"/>
  <c r="B2" i="34"/>
  <c r="B3" i="33"/>
  <c r="B2" i="33"/>
  <c r="C2" i="32"/>
  <c r="C1" i="32"/>
  <c r="A4" i="32"/>
  <c r="K12" i="31"/>
  <c r="A15" i="31"/>
  <c r="B15" i="31"/>
  <c r="C15" i="31"/>
  <c r="D15" i="31"/>
  <c r="D5" i="31"/>
  <c r="D6" i="31"/>
  <c r="D7" i="31"/>
  <c r="D8" i="31"/>
  <c r="D9" i="31"/>
  <c r="D10" i="31"/>
  <c r="D11" i="31"/>
  <c r="D12" i="31"/>
  <c r="D13" i="31"/>
  <c r="D4" i="31"/>
  <c r="C4" i="31"/>
  <c r="C5" i="31"/>
  <c r="C6" i="31"/>
  <c r="C7" i="31"/>
  <c r="C8" i="31"/>
  <c r="C9" i="31"/>
  <c r="C10" i="31"/>
  <c r="C11" i="31"/>
  <c r="C12" i="31"/>
  <c r="C13" i="31"/>
  <c r="E3" i="30"/>
  <c r="E2" i="30"/>
  <c r="B2" i="29"/>
  <c r="B2" i="28"/>
  <c r="B2" i="27"/>
  <c r="B2" i="26"/>
  <c r="B2" i="25"/>
  <c r="B2" i="23"/>
  <c r="B2" i="22"/>
  <c r="C3" i="22"/>
  <c r="B3" i="22"/>
  <c r="E6" i="19"/>
  <c r="D6" i="19"/>
  <c r="B3" i="19"/>
  <c r="B4" i="19"/>
  <c r="B6" i="19" s="1"/>
  <c r="B2" i="19"/>
  <c r="B6" i="18"/>
  <c r="B4" i="18"/>
  <c r="B3" i="18"/>
  <c r="B2" i="18"/>
  <c r="B4" i="17" l="1"/>
  <c r="B3" i="17"/>
  <c r="B2" i="17"/>
  <c r="B4" i="16"/>
  <c r="B3" i="16"/>
  <c r="I12" i="16"/>
  <c r="I11" i="16"/>
  <c r="I3" i="16"/>
  <c r="I4" i="16"/>
  <c r="I5" i="16"/>
  <c r="I6" i="16"/>
  <c r="I7" i="16"/>
  <c r="I8" i="16"/>
  <c r="I9" i="16"/>
  <c r="I2" i="16"/>
  <c r="B2" i="16"/>
  <c r="B5" i="15" l="1"/>
  <c r="B4" i="15"/>
  <c r="B3" i="15"/>
  <c r="B2" i="15"/>
  <c r="B6" i="14"/>
  <c r="B4" i="14"/>
  <c r="B3" i="14"/>
  <c r="B2" i="14"/>
  <c r="E5" i="13"/>
  <c r="E4" i="13"/>
  <c r="E3" i="13"/>
  <c r="E2" i="13"/>
  <c r="B3" i="12" l="1"/>
  <c r="B2" i="12"/>
  <c r="B5" i="11"/>
  <c r="E4" i="11"/>
  <c r="E3" i="11"/>
  <c r="E2" i="11"/>
  <c r="B4" i="11"/>
  <c r="B4" i="9"/>
  <c r="B3" i="9"/>
  <c r="B4" i="8"/>
  <c r="B3" i="8"/>
  <c r="B2" i="8"/>
  <c r="G4" i="8"/>
  <c r="G3" i="8"/>
  <c r="G2" i="8"/>
  <c r="B3" i="7"/>
  <c r="B2" i="7"/>
  <c r="B3" i="6"/>
  <c r="B2" i="6"/>
  <c r="B6" i="5"/>
  <c r="B4" i="5"/>
  <c r="B3" i="5"/>
  <c r="B3" i="2" l="1"/>
  <c r="B3" i="4"/>
  <c r="B2" i="4"/>
  <c r="B4" i="3"/>
  <c r="F12" i="3"/>
  <c r="F11" i="3"/>
  <c r="B3" i="3"/>
  <c r="B2" i="2"/>
  <c r="B5" i="1"/>
  <c r="B3" i="1"/>
  <c r="F12" i="1"/>
  <c r="F11" i="1"/>
  <c r="B2" i="1"/>
</calcChain>
</file>

<file path=xl/sharedStrings.xml><?xml version="1.0" encoding="utf-8"?>
<sst xmlns="http://schemas.openxmlformats.org/spreadsheetml/2006/main" count="531" uniqueCount="165">
  <si>
    <t>Q1</t>
  </si>
  <si>
    <t>a)</t>
  </si>
  <si>
    <t>data</t>
  </si>
  <si>
    <t>b)</t>
  </si>
  <si>
    <t>mean</t>
  </si>
  <si>
    <t>sd</t>
  </si>
  <si>
    <t>c)</t>
  </si>
  <si>
    <t>d)</t>
  </si>
  <si>
    <t>Q2</t>
  </si>
  <si>
    <t>Q3</t>
  </si>
  <si>
    <t>Q4</t>
  </si>
  <si>
    <t>test stat</t>
  </si>
  <si>
    <t>crit</t>
  </si>
  <si>
    <t>Q5</t>
  </si>
  <si>
    <t>e)</t>
  </si>
  <si>
    <t>Q6</t>
  </si>
  <si>
    <t>Q7</t>
  </si>
  <si>
    <t>Q8</t>
  </si>
  <si>
    <t>n</t>
  </si>
  <si>
    <t>(p-value)</t>
  </si>
  <si>
    <t>Q9</t>
  </si>
  <si>
    <t>Q11</t>
  </si>
  <si>
    <t>Q12</t>
  </si>
  <si>
    <t>Q13</t>
  </si>
  <si>
    <t>With</t>
  </si>
  <si>
    <t>Without</t>
  </si>
  <si>
    <t>F-Test Two-Sample for Variances</t>
  </si>
  <si>
    <t>Mean</t>
  </si>
  <si>
    <t>Variance</t>
  </si>
  <si>
    <t>Observations</t>
  </si>
  <si>
    <t>df</t>
  </si>
  <si>
    <t>F</t>
  </si>
  <si>
    <t>P(F&lt;=f) one-tail</t>
  </si>
  <si>
    <t>F Critical one-tail</t>
  </si>
  <si>
    <t>t-Test: Two-Sample Assuming Equal Variances</t>
  </si>
  <si>
    <t>Pooled Variance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</si>
  <si>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</si>
  <si>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</si>
  <si>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</si>
  <si>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</si>
  <si>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</si>
  <si>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</si>
  <si>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t-Test: Two-Sample Assuming Unequal Variances</t>
  </si>
  <si>
    <t>Q14</t>
  </si>
  <si>
    <t>Q15</t>
  </si>
  <si>
    <t>After</t>
  </si>
  <si>
    <t>Before</t>
  </si>
  <si>
    <t>n = 8</t>
  </si>
  <si>
    <t>Q16</t>
  </si>
  <si>
    <t>D</t>
  </si>
  <si>
    <t>Q17</t>
  </si>
  <si>
    <t>Q18</t>
  </si>
  <si>
    <t>Sales</t>
  </si>
  <si>
    <t>Audit</t>
  </si>
  <si>
    <t>Q19</t>
  </si>
  <si>
    <t>f)</t>
  </si>
  <si>
    <t>Statdisk Output</t>
  </si>
  <si>
    <t>Q21</t>
  </si>
  <si>
    <t>t-Test: Paired Two Sample for Means</t>
  </si>
  <si>
    <t>Pearson Correlation</t>
  </si>
  <si>
    <t>Q22</t>
  </si>
  <si>
    <t>Q23</t>
  </si>
  <si>
    <t>Q25)</t>
  </si>
  <si>
    <t>Q26</t>
  </si>
  <si>
    <t>pooled</t>
  </si>
  <si>
    <t>Q27</t>
  </si>
  <si>
    <t>Q28</t>
  </si>
  <si>
    <t>t =</t>
  </si>
  <si>
    <t>Q29</t>
  </si>
  <si>
    <t>x</t>
  </si>
  <si>
    <t>y</t>
  </si>
  <si>
    <t>r =</t>
  </si>
  <si>
    <t>r2 =</t>
  </si>
  <si>
    <t>Q31</t>
  </si>
  <si>
    <t>X</t>
  </si>
  <si>
    <t>Y</t>
  </si>
  <si>
    <t>Y2</t>
  </si>
  <si>
    <t>XY</t>
  </si>
  <si>
    <t>(Total)</t>
  </si>
  <si>
    <t>standard error =</t>
  </si>
  <si>
    <t>SUMMARY OUTPUT</t>
  </si>
  <si>
    <t>Regression Statistics</t>
  </si>
  <si>
    <t>Multiple R</t>
  </si>
  <si>
    <t>R Square</t>
  </si>
  <si>
    <t>Adjusted R Square</t>
  </si>
  <si>
    <t>Standard Error</t>
  </si>
  <si>
    <t>ANOVA</t>
  </si>
  <si>
    <t>Regression</t>
  </si>
  <si>
    <t>Residual</t>
  </si>
  <si>
    <t>Total</t>
  </si>
  <si>
    <t>Intercept</t>
  </si>
  <si>
    <t>SS</t>
  </si>
  <si>
    <t>MS</t>
  </si>
  <si>
    <t>Significance F</t>
  </si>
  <si>
    <t>Coefficients</t>
  </si>
  <si>
    <t>P-value</t>
  </si>
  <si>
    <t>Lower 95%</t>
  </si>
  <si>
    <t>Upper 95%</t>
  </si>
  <si>
    <t>Lower 95.0%</t>
  </si>
  <si>
    <t>Upper 95.0%</t>
  </si>
  <si>
    <t>Q33</t>
  </si>
  <si>
    <t>Q34</t>
  </si>
  <si>
    <t>Age</t>
  </si>
  <si>
    <t>Selling Price</t>
  </si>
  <si>
    <t>Car #</t>
  </si>
  <si>
    <t>Q35</t>
  </si>
  <si>
    <t>Q36</t>
  </si>
  <si>
    <t>Q37</t>
  </si>
  <si>
    <t>Q38</t>
  </si>
  <si>
    <t>Q39</t>
  </si>
  <si>
    <t>Demand, X</t>
  </si>
  <si>
    <t>Price, Y</t>
  </si>
  <si>
    <t>Q40</t>
  </si>
  <si>
    <t>Q41</t>
  </si>
  <si>
    <t>Q42</t>
  </si>
  <si>
    <t>Regression Analysis</t>
  </si>
  <si>
    <t xml:space="preserve">r² </t>
  </si>
  <si>
    <t xml:space="preserve">r  </t>
  </si>
  <si>
    <t xml:space="preserve">Std. Error  </t>
  </si>
  <si>
    <t xml:space="preserve">n  </t>
  </si>
  <si>
    <t xml:space="preserve">k  </t>
  </si>
  <si>
    <t xml:space="preserve">Dep. Var. </t>
  </si>
  <si>
    <t>Regression output</t>
  </si>
  <si>
    <t>variables</t>
  </si>
  <si>
    <t xml:space="preserve"> coefficients</t>
  </si>
  <si>
    <t xml:space="preserve">std. error </t>
  </si>
  <si>
    <t xml:space="preserve">   t (df=8)</t>
  </si>
  <si>
    <t>p-value</t>
  </si>
  <si>
    <t>95% lower</t>
  </si>
  <si>
    <t>95% upper</t>
  </si>
  <si>
    <t>confidence interval</t>
  </si>
  <si>
    <t>ANOVA table</t>
  </si>
  <si>
    <t>Source</t>
  </si>
  <si>
    <t xml:space="preserve">SS  </t>
  </si>
  <si>
    <t xml:space="preserve">df  </t>
  </si>
  <si>
    <t xml:space="preserve"> lower</t>
  </si>
  <si>
    <t xml:space="preserve"> upper </t>
  </si>
  <si>
    <t xml:space="preserve"> Leverage</t>
  </si>
  <si>
    <t xml:space="preserve">  Predicted</t>
  </si>
  <si>
    <t>95% Confidence Interval</t>
  </si>
  <si>
    <t xml:space="preserve">  95% Prediction Interval</t>
  </si>
  <si>
    <t>Predicted values for: Y</t>
  </si>
  <si>
    <t>Q43</t>
  </si>
  <si>
    <t>Family #</t>
  </si>
  <si>
    <t>Food, Y</t>
  </si>
  <si>
    <t>Income, X1</t>
  </si>
  <si>
    <t>Size, X2</t>
  </si>
  <si>
    <t>c-2)</t>
  </si>
  <si>
    <t>Q44</t>
  </si>
  <si>
    <t>C</t>
  </si>
  <si>
    <t>X1</t>
  </si>
  <si>
    <t>X2</t>
  </si>
  <si>
    <t>X3</t>
  </si>
  <si>
    <t>X4</t>
  </si>
  <si>
    <t>X5</t>
  </si>
  <si>
    <t>e1)</t>
  </si>
  <si>
    <t>F =</t>
  </si>
  <si>
    <t>f1)</t>
  </si>
  <si>
    <t>Coeff</t>
  </si>
  <si>
    <t>Se</t>
  </si>
  <si>
    <t>t</t>
  </si>
  <si>
    <t>p</t>
  </si>
  <si>
    <t>Q45</t>
  </si>
  <si>
    <t>1+391.11/6</t>
  </si>
  <si>
    <t>(Reject)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</si>
</sst>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000"/>
    <numFmt numFmtId="165" formatCode="0.000"/>
    <numFmt numFmtId="166" formatCode="0.0"/>
    <numFmt numFmtId="179" formatCode="0.000\ ;\-0.000\ "/>
    <numFmt numFmtId="180" formatCode="0\ "/>
    <numFmt numFmtId="181" formatCode="#,##0.0000\ ;\-#,##0.0000\ "/>
    <numFmt numFmtId="182" formatCode="#,##0.0000\ ;\-#,##0.0000\ \ "/>
    <numFmt numFmtId="183" formatCode=".0000"/>
    <numFmt numFmtId="184" formatCode="\ 0.000\ ;\ \-0.000\ "/>
    <numFmt numFmtId="185" formatCode="\ #,##0.0000\ ;\-#,##0.0000\ \ "/>
    <numFmt numFmtId="186" formatCode="0\ \ \ "/>
    <numFmt numFmtId="187" formatCode="#,##0\ ;\-#,##0\ "/>
    <numFmt numFmtId="188" formatCode="#,##0.000\ ;\-#,##0.000\ "/>
    <numFmt numFmtId="189" formatCode=";;;"/>
    <numFmt numFmtId="190" formatCode="#,##0.00\ ;\-#,##0.00\ "/>
  </numFmts>
  <fonts count="11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i/>
      <u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0" fontId="2" fillId="0" borderId="0" xfId="0" applyFont="1"/>
    <xf numFmtId="2" fontId="0" fillId="0" borderId="0" xfId="0" applyNumberFormat="1"/>
    <xf numFmtId="166" fontId="0" fillId="0" borderId="0" xfId="0" applyNumberFormat="1"/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0" fillId="3" borderId="0" xfId="0" applyFill="1"/>
    <xf numFmtId="164" fontId="0" fillId="0" borderId="0" xfId="0" applyNumberFormat="1" applyFill="1" applyBorder="1" applyAlignment="1"/>
    <xf numFmtId="165" fontId="0" fillId="0" borderId="0" xfId="0" applyNumberFormat="1" applyFill="1" applyBorder="1" applyAlignment="1"/>
    <xf numFmtId="10" fontId="0" fillId="0" borderId="0" xfId="1" applyNumberFormat="1" applyFont="1"/>
    <xf numFmtId="0" fontId="4" fillId="0" borderId="0" xfId="0" applyFont="1"/>
    <xf numFmtId="0" fontId="2" fillId="0" borderId="3" xfId="0" applyFont="1" applyFill="1" applyBorder="1" applyAlignment="1">
      <alignment horizontal="centerContinuous"/>
    </xf>
    <xf numFmtId="164" fontId="0" fillId="0" borderId="2" xfId="0" applyNumberFormat="1" applyFill="1" applyBorder="1" applyAlignment="1"/>
    <xf numFmtId="0" fontId="5" fillId="0" borderId="0" xfId="0" applyFont="1"/>
    <xf numFmtId="0" fontId="6" fillId="0" borderId="0" xfId="0" applyFont="1"/>
    <xf numFmtId="17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79" fontId="5" fillId="0" borderId="0" xfId="0" applyNumberFormat="1" applyFont="1" applyAlignment="1">
      <alignment horizontal="left"/>
    </xf>
    <xf numFmtId="180" fontId="5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81" fontId="5" fillId="0" borderId="0" xfId="0" applyNumberFormat="1" applyFont="1"/>
    <xf numFmtId="182" fontId="5" fillId="0" borderId="0" xfId="0" applyNumberFormat="1" applyFont="1"/>
    <xf numFmtId="0" fontId="5" fillId="0" borderId="0" xfId="0" applyFont="1" applyFill="1" applyAlignment="1">
      <alignment horizontal="right"/>
    </xf>
    <xf numFmtId="183" fontId="5" fillId="4" borderId="0" xfId="0" applyNumberFormat="1" applyFont="1" applyFill="1"/>
    <xf numFmtId="184" fontId="5" fillId="0" borderId="0" xfId="0" applyNumberFormat="1" applyFont="1"/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84" fontId="8" fillId="0" borderId="5" xfId="0" applyNumberFormat="1" applyFont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181" fontId="5" fillId="0" borderId="6" xfId="0" applyNumberFormat="1" applyFont="1" applyBorder="1"/>
    <xf numFmtId="182" fontId="5" fillId="0" borderId="6" xfId="0" applyNumberFormat="1" applyFont="1" applyBorder="1"/>
    <xf numFmtId="184" fontId="5" fillId="0" borderId="6" xfId="0" applyNumberFormat="1" applyFont="1" applyBorder="1"/>
    <xf numFmtId="183" fontId="5" fillId="4" borderId="6" xfId="0" applyNumberFormat="1" applyFont="1" applyFill="1" applyBorder="1"/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0" borderId="7" xfId="0" applyFont="1" applyBorder="1"/>
    <xf numFmtId="0" fontId="5" fillId="0" borderId="7" xfId="0" applyFont="1" applyBorder="1" applyAlignment="1">
      <alignment horizontal="right"/>
    </xf>
    <xf numFmtId="185" fontId="5" fillId="0" borderId="0" xfId="0" applyNumberFormat="1" applyFont="1" applyAlignment="1">
      <alignment horizontal="right"/>
    </xf>
    <xf numFmtId="185" fontId="5" fillId="0" borderId="7" xfId="0" applyNumberFormat="1" applyFont="1" applyBorder="1" applyAlignment="1">
      <alignment horizontal="right"/>
    </xf>
    <xf numFmtId="186" fontId="8" fillId="0" borderId="5" xfId="0" applyNumberFormat="1" applyFont="1" applyBorder="1" applyAlignment="1">
      <alignment horizontal="right"/>
    </xf>
    <xf numFmtId="186" fontId="5" fillId="0" borderId="0" xfId="0" applyNumberFormat="1" applyFont="1" applyAlignment="1">
      <alignment horizontal="right"/>
    </xf>
    <xf numFmtId="186" fontId="5" fillId="0" borderId="7" xfId="0" applyNumberFormat="1" applyFont="1" applyBorder="1" applyAlignment="1">
      <alignment horizontal="right"/>
    </xf>
    <xf numFmtId="2" fontId="5" fillId="0" borderId="0" xfId="0" applyNumberFormat="1" applyFont="1"/>
    <xf numFmtId="0" fontId="8" fillId="0" borderId="8" xfId="0" applyFont="1" applyBorder="1" applyAlignment="1">
      <alignment horizontal="right"/>
    </xf>
    <xf numFmtId="187" fontId="8" fillId="0" borderId="4" xfId="0" applyNumberFormat="1" applyFont="1" applyBorder="1" applyAlignment="1">
      <alignment horizontal="right"/>
    </xf>
    <xf numFmtId="187" fontId="8" fillId="0" borderId="8" xfId="0" applyNumberFormat="1" applyFont="1" applyBorder="1" applyAlignment="1">
      <alignment horizontal="right"/>
    </xf>
    <xf numFmtId="188" fontId="8" fillId="0" borderId="4" xfId="0" applyNumberFormat="1" applyFont="1" applyBorder="1" applyAlignment="1">
      <alignment horizontal="right"/>
    </xf>
    <xf numFmtId="188" fontId="8" fillId="0" borderId="8" xfId="0" applyNumberFormat="1" applyFont="1" applyBorder="1" applyAlignment="1">
      <alignment horizontal="right"/>
    </xf>
    <xf numFmtId="188" fontId="10" fillId="0" borderId="4" xfId="0" applyNumberFormat="1" applyFont="1" applyBorder="1" applyAlignment="1">
      <alignment horizontal="centerContinuous"/>
    </xf>
    <xf numFmtId="188" fontId="8" fillId="0" borderId="4" xfId="0" applyNumberFormat="1" applyFont="1" applyBorder="1" applyAlignment="1">
      <alignment horizontal="centerContinuous"/>
    </xf>
    <xf numFmtId="187" fontId="5" fillId="0" borderId="6" xfId="0" applyNumberFormat="1" applyFont="1" applyBorder="1"/>
    <xf numFmtId="188" fontId="5" fillId="0" borderId="6" xfId="0" applyNumberFormat="1" applyFont="1" applyBorder="1"/>
    <xf numFmtId="165" fontId="5" fillId="5" borderId="6" xfId="0" applyNumberFormat="1" applyFont="1" applyFill="1" applyBorder="1"/>
    <xf numFmtId="0" fontId="5" fillId="0" borderId="0" xfId="0" applyFont="1" applyAlignment="1">
      <alignment horizontal="left"/>
    </xf>
    <xf numFmtId="189" fontId="5" fillId="0" borderId="0" xfId="0" applyNumberFormat="1" applyFont="1"/>
    <xf numFmtId="190" fontId="5" fillId="0" borderId="6" xfId="0" applyNumberFormat="1" applyFont="1" applyBorder="1"/>
    <xf numFmtId="165" fontId="0" fillId="0" borderId="2" xfId="0" applyNumberForma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'Q35'!$G$2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'Q35'!$F$3:$F$7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-6</c:v>
                </c:pt>
                <c:pt idx="3">
                  <c:v>-9</c:v>
                </c:pt>
                <c:pt idx="4">
                  <c:v>0</c:v>
                </c:pt>
              </c:numCache>
            </c:numRef>
          </c:xVal>
          <c:yVal>
            <c:numRef>
              <c:f>'Q35'!$G$3:$G$7</c:f>
              <c:numCache>
                <c:formatCode>General</c:formatCode>
                <c:ptCount val="5"/>
                <c:pt idx="0">
                  <c:v>285</c:v>
                </c:pt>
                <c:pt idx="1">
                  <c:v>122</c:v>
                </c:pt>
                <c:pt idx="2">
                  <c:v>156</c:v>
                </c:pt>
                <c:pt idx="3">
                  <c:v>19</c:v>
                </c:pt>
                <c:pt idx="4">
                  <c:v>123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598464"/>
        <c:axId val="241588480"/>
      </c:scatterChart>
      <c:valAx>
        <c:axId val="24159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41588480"/>
        <c:crosses val="autoZero"/>
        <c:crossBetween val="midCat"/>
      </c:valAx>
      <c:valAx>
        <c:axId val="241588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5984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'Q39'!$I$2</c:f>
              <c:strCache>
                <c:ptCount val="1"/>
                <c:pt idx="0">
                  <c:v>Price, Y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'Q39'!$H$3:$H$12</c:f>
              <c:numCache>
                <c:formatCode>General</c:formatCode>
                <c:ptCount val="10"/>
                <c:pt idx="0">
                  <c:v>3</c:v>
                </c:pt>
                <c:pt idx="1">
                  <c:v>7</c:v>
                </c:pt>
                <c:pt idx="2">
                  <c:v>8</c:v>
                </c:pt>
                <c:pt idx="3">
                  <c:v>11</c:v>
                </c:pt>
                <c:pt idx="4">
                  <c:v>15</c:v>
                </c:pt>
                <c:pt idx="5">
                  <c:v>22</c:v>
                </c:pt>
                <c:pt idx="6">
                  <c:v>31</c:v>
                </c:pt>
                <c:pt idx="7">
                  <c:v>37</c:v>
                </c:pt>
                <c:pt idx="8">
                  <c:v>46</c:v>
                </c:pt>
                <c:pt idx="9">
                  <c:v>62</c:v>
                </c:pt>
              </c:numCache>
            </c:numRef>
          </c:xVal>
          <c:yVal>
            <c:numRef>
              <c:f>'Q39'!$I$3:$I$12</c:f>
              <c:numCache>
                <c:formatCode>General</c:formatCode>
                <c:ptCount val="10"/>
                <c:pt idx="0">
                  <c:v>129</c:v>
                </c:pt>
                <c:pt idx="1">
                  <c:v>93</c:v>
                </c:pt>
                <c:pt idx="2">
                  <c:v>81</c:v>
                </c:pt>
                <c:pt idx="3">
                  <c:v>66</c:v>
                </c:pt>
                <c:pt idx="4">
                  <c:v>51</c:v>
                </c:pt>
                <c:pt idx="5">
                  <c:v>45</c:v>
                </c:pt>
                <c:pt idx="6">
                  <c:v>34</c:v>
                </c:pt>
                <c:pt idx="7">
                  <c:v>29</c:v>
                </c:pt>
                <c:pt idx="8">
                  <c:v>27</c:v>
                </c:pt>
                <c:pt idx="9">
                  <c:v>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0273280"/>
        <c:axId val="260267392"/>
      </c:scatterChart>
      <c:valAx>
        <c:axId val="2602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60267392"/>
        <c:crosses val="autoZero"/>
        <c:crossBetween val="midCat"/>
      </c:valAx>
      <c:valAx>
        <c:axId val="260267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02732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4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6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14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1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chart" Target="../charts/chart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chart" Target="../charts/chart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</xdr:colOff>
      <xdr:row>0</xdr:row>
      <xdr:rowOff>0</xdr:rowOff>
    </xdr:from>
    <xdr:to>
      <xdr:col>19</xdr:col>
      <xdr:colOff>590550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7172325" cy="540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0</xdr:row>
      <xdr:rowOff>0</xdr:rowOff>
    </xdr:from>
    <xdr:to>
      <xdr:col>20</xdr:col>
      <xdr:colOff>142875</xdr:colOff>
      <xdr:row>23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0"/>
          <a:ext cx="10086975" cy="449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0</xdr:rowOff>
    </xdr:from>
    <xdr:to>
      <xdr:col>20</xdr:col>
      <xdr:colOff>457200</xdr:colOff>
      <xdr:row>30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0"/>
          <a:ext cx="6924675" cy="585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0</xdr:rowOff>
    </xdr:from>
    <xdr:to>
      <xdr:col>16</xdr:col>
      <xdr:colOff>285750</xdr:colOff>
      <xdr:row>22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0"/>
          <a:ext cx="6953250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295275</xdr:colOff>
      <xdr:row>0</xdr:row>
      <xdr:rowOff>0</xdr:rowOff>
    </xdr:from>
    <xdr:to>
      <xdr:col>15</xdr:col>
      <xdr:colOff>238125</xdr:colOff>
      <xdr:row>29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0"/>
          <a:ext cx="6648450" cy="561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38100</xdr:rowOff>
    </xdr:from>
    <xdr:to>
      <xdr:col>16</xdr:col>
      <xdr:colOff>95250</xdr:colOff>
      <xdr:row>24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8100"/>
          <a:ext cx="7048500" cy="456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0</xdr:rowOff>
    </xdr:from>
    <xdr:to>
      <xdr:col>19</xdr:col>
      <xdr:colOff>19050</xdr:colOff>
      <xdr:row>26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0"/>
          <a:ext cx="6924675" cy="497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0</xdr:row>
      <xdr:rowOff>0</xdr:rowOff>
    </xdr:from>
    <xdr:to>
      <xdr:col>21</xdr:col>
      <xdr:colOff>47625</xdr:colOff>
      <xdr:row>31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6858000" cy="591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0</xdr:rowOff>
    </xdr:from>
    <xdr:to>
      <xdr:col>17</xdr:col>
      <xdr:colOff>571500</xdr:colOff>
      <xdr:row>27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0"/>
          <a:ext cx="7067550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0</xdr:rowOff>
    </xdr:from>
    <xdr:to>
      <xdr:col>16</xdr:col>
      <xdr:colOff>476250</xdr:colOff>
      <xdr:row>31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0"/>
          <a:ext cx="6648450" cy="592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0</xdr:rowOff>
    </xdr:from>
    <xdr:to>
      <xdr:col>18</xdr:col>
      <xdr:colOff>600075</xdr:colOff>
      <xdr:row>32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0"/>
          <a:ext cx="6905625" cy="60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0</xdr:row>
      <xdr:rowOff>0</xdr:rowOff>
    </xdr:from>
    <xdr:to>
      <xdr:col>18</xdr:col>
      <xdr:colOff>314325</xdr:colOff>
      <xdr:row>22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0"/>
          <a:ext cx="7543800" cy="437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552450</xdr:colOff>
      <xdr:row>17</xdr:row>
      <xdr:rowOff>180975</xdr:rowOff>
    </xdr:from>
    <xdr:to>
      <xdr:col>19</xdr:col>
      <xdr:colOff>1038225</xdr:colOff>
      <xdr:row>58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3457575"/>
          <a:ext cx="6848475" cy="764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133350</xdr:rowOff>
    </xdr:from>
    <xdr:to>
      <xdr:col>14</xdr:col>
      <xdr:colOff>542925</xdr:colOff>
      <xdr:row>4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33350"/>
          <a:ext cx="5857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476250</xdr:colOff>
      <xdr:row>7</xdr:row>
      <xdr:rowOff>28575</xdr:rowOff>
    </xdr:from>
    <xdr:to>
      <xdr:col>16</xdr:col>
      <xdr:colOff>533400</xdr:colOff>
      <xdr:row>39</xdr:row>
      <xdr:rowOff>57150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62075"/>
          <a:ext cx="6762750" cy="612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0</xdr:row>
      <xdr:rowOff>180975</xdr:rowOff>
    </xdr:from>
    <xdr:to>
      <xdr:col>17</xdr:col>
      <xdr:colOff>295275</xdr:colOff>
      <xdr:row>15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80975"/>
          <a:ext cx="6267450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14</xdr:row>
      <xdr:rowOff>123825</xdr:rowOff>
    </xdr:from>
    <xdr:to>
      <xdr:col>20</xdr:col>
      <xdr:colOff>276225</xdr:colOff>
      <xdr:row>53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790825"/>
          <a:ext cx="7839075" cy="748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0</xdr:row>
      <xdr:rowOff>0</xdr:rowOff>
    </xdr:from>
    <xdr:to>
      <xdr:col>22</xdr:col>
      <xdr:colOff>85725</xdr:colOff>
      <xdr:row>36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0"/>
          <a:ext cx="6743700" cy="693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13</xdr:col>
      <xdr:colOff>438150</xdr:colOff>
      <xdr:row>4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7625"/>
          <a:ext cx="5857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6</xdr:row>
      <xdr:rowOff>47625</xdr:rowOff>
    </xdr:from>
    <xdr:to>
      <xdr:col>16</xdr:col>
      <xdr:colOff>76200</xdr:colOff>
      <xdr:row>37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190625"/>
          <a:ext cx="7286625" cy="589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16</xdr:row>
      <xdr:rowOff>57150</xdr:rowOff>
    </xdr:from>
    <xdr:to>
      <xdr:col>15</xdr:col>
      <xdr:colOff>47625</xdr:colOff>
      <xdr:row>31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3105150"/>
          <a:ext cx="6267450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504825</xdr:colOff>
      <xdr:row>0</xdr:row>
      <xdr:rowOff>0</xdr:rowOff>
    </xdr:from>
    <xdr:to>
      <xdr:col>26</xdr:col>
      <xdr:colOff>476250</xdr:colOff>
      <xdr:row>35</xdr:row>
      <xdr:rowOff>57150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0"/>
          <a:ext cx="6677025" cy="675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18</xdr:col>
      <xdr:colOff>371475</xdr:colOff>
      <xdr:row>4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5857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333375</xdr:colOff>
      <xdr:row>7</xdr:row>
      <xdr:rowOff>19050</xdr:rowOff>
    </xdr:from>
    <xdr:to>
      <xdr:col>19</xdr:col>
      <xdr:colOff>361950</xdr:colOff>
      <xdr:row>53</xdr:row>
      <xdr:rowOff>76200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352550"/>
          <a:ext cx="67341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342900</xdr:colOff>
      <xdr:row>0</xdr:row>
      <xdr:rowOff>95250</xdr:rowOff>
    </xdr:from>
    <xdr:to>
      <xdr:col>21</xdr:col>
      <xdr:colOff>104775</xdr:colOff>
      <xdr:row>4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95250"/>
          <a:ext cx="5857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66675</xdr:rowOff>
    </xdr:from>
    <xdr:to>
      <xdr:col>11</xdr:col>
      <xdr:colOff>352425</xdr:colOff>
      <xdr:row>30</xdr:row>
      <xdr:rowOff>57150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7058025" cy="551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133350</xdr:colOff>
      <xdr:row>9</xdr:row>
      <xdr:rowOff>171450</xdr:rowOff>
    </xdr:from>
    <xdr:to>
      <xdr:col>16</xdr:col>
      <xdr:colOff>342900</xdr:colOff>
      <xdr:row>20</xdr:row>
      <xdr:rowOff>38100</xdr:rowOff>
    </xdr:to>
    <xdr:sp macro="" textlink="">
      <xdr:nvSpPr>
        <xdr:cNvPr id="4" name="TextBox 3"/>
        <xdr:cNvSpPr txBox="1"/>
      </xdr:nvSpPr>
      <xdr:spPr>
        <a:xfrm>
          <a:off x="7448550" y="1885950"/>
          <a:ext cx="2647950" cy="1962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Alternative Hypothesis:   p1 &lt; p2</a:t>
          </a:r>
        </a:p>
        <a:p>
          <a:endParaRPr lang="en-US" sz="1100"/>
        </a:p>
        <a:p>
          <a:r>
            <a:rPr lang="en-US" sz="1100"/>
            <a:t>Pooled proportion: 0.0932203</a:t>
          </a:r>
        </a:p>
        <a:p>
          <a:r>
            <a:rPr lang="en-US" sz="1100"/>
            <a:t>Test Statistic, z: -0.8285</a:t>
          </a:r>
        </a:p>
        <a:p>
          <a:r>
            <a:rPr lang="en-US" sz="1100"/>
            <a:t>Critical z:        -1.6449</a:t>
          </a:r>
        </a:p>
        <a:p>
          <a:r>
            <a:rPr lang="en-US" sz="1100"/>
            <a:t>P-Value:           0.2037</a:t>
          </a:r>
        </a:p>
        <a:p>
          <a:endParaRPr lang="en-US" sz="1100"/>
        </a:p>
        <a:p>
          <a:r>
            <a:rPr lang="en-US" sz="1100"/>
            <a:t>90% Confidence interval:</a:t>
          </a:r>
        </a:p>
        <a:p>
          <a:r>
            <a:rPr lang="en-US" sz="1100"/>
            <a:t>-0.1146715 &lt; p1-p2 &lt; 0.0418316</a:t>
          </a:r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0</xdr:rowOff>
    </xdr:from>
    <xdr:to>
      <xdr:col>19</xdr:col>
      <xdr:colOff>247650</xdr:colOff>
      <xdr:row>30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0"/>
          <a:ext cx="6915150" cy="582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0</xdr:rowOff>
    </xdr:from>
    <xdr:to>
      <xdr:col>17</xdr:col>
      <xdr:colOff>295275</xdr:colOff>
      <xdr:row>32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6981825" cy="627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257175</xdr:colOff>
      <xdr:row>4</xdr:row>
      <xdr:rowOff>180975</xdr:rowOff>
    </xdr:from>
    <xdr:to>
      <xdr:col>5</xdr:col>
      <xdr:colOff>285750</xdr:colOff>
      <xdr:row>15</xdr:row>
      <xdr:rowOff>9525</xdr:rowOff>
    </xdr:to>
    <xdr:sp macro="" textlink="">
      <xdr:nvSpPr>
        <xdr:cNvPr id="3" name="TextBox 2"/>
        <xdr:cNvSpPr txBox="1"/>
      </xdr:nvSpPr>
      <xdr:spPr>
        <a:xfrm>
          <a:off x="257175" y="942975"/>
          <a:ext cx="3076575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Alternative Hypothesis:</a:t>
          </a:r>
        </a:p>
        <a:p>
          <a:r>
            <a:rPr lang="en-US" sz="1100"/>
            <a:t>  µ1 not equal µ2</a:t>
          </a:r>
        </a:p>
        <a:p>
          <a:endParaRPr lang="en-US" sz="1100"/>
        </a:p>
        <a:p>
          <a:r>
            <a:rPr lang="en-US" sz="1100"/>
            <a:t>Test Statistic, z: 2.2616</a:t>
          </a:r>
        </a:p>
        <a:p>
          <a:r>
            <a:rPr lang="en-US" sz="1100"/>
            <a:t>Critical z:        ±1.959962</a:t>
          </a:r>
        </a:p>
        <a:p>
          <a:r>
            <a:rPr lang="en-US" sz="1100"/>
            <a:t>P-Value:           0.0237</a:t>
          </a:r>
        </a:p>
        <a:p>
          <a:endParaRPr lang="en-US" sz="1100"/>
        </a:p>
        <a:p>
          <a:r>
            <a:rPr lang="en-US" sz="1100"/>
            <a:t>95% Confidence interval:</a:t>
          </a:r>
        </a:p>
        <a:p>
          <a:r>
            <a:rPr lang="en-US" sz="1100"/>
            <a:t>0.4000662 &lt; µ1-µ2 &lt; 5.599934</a:t>
          </a:r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0</xdr:rowOff>
    </xdr:from>
    <xdr:to>
      <xdr:col>17</xdr:col>
      <xdr:colOff>561975</xdr:colOff>
      <xdr:row>38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0"/>
          <a:ext cx="6591300" cy="734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590550</xdr:colOff>
      <xdr:row>32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6550" cy="60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16</xdr:col>
      <xdr:colOff>85725</xdr:colOff>
      <xdr:row>32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6734175" cy="616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409575</xdr:colOff>
      <xdr:row>0</xdr:row>
      <xdr:rowOff>0</xdr:rowOff>
    </xdr:from>
    <xdr:to>
      <xdr:col>20</xdr:col>
      <xdr:colOff>476250</xdr:colOff>
      <xdr:row>31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0"/>
          <a:ext cx="6772275" cy="601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4</xdr:row>
      <xdr:rowOff>28575</xdr:rowOff>
    </xdr:from>
    <xdr:to>
      <xdr:col>7</xdr:col>
      <xdr:colOff>590550</xdr:colOff>
      <xdr:row>18</xdr:row>
      <xdr:rowOff>161925</xdr:rowOff>
    </xdr:to>
    <xdr:sp macro="" textlink="">
      <xdr:nvSpPr>
        <xdr:cNvPr id="3" name="TextBox 2"/>
        <xdr:cNvSpPr txBox="1"/>
      </xdr:nvSpPr>
      <xdr:spPr>
        <a:xfrm>
          <a:off x="276225" y="790575"/>
          <a:ext cx="4581525" cy="2800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Eq. vars: Pool</a:t>
          </a:r>
        </a:p>
        <a:p>
          <a:endParaRPr lang="en-US" sz="1100"/>
        </a:p>
        <a:p>
          <a:r>
            <a:rPr lang="en-US" sz="1100"/>
            <a:t>Alternative Hypothesis:</a:t>
          </a:r>
        </a:p>
        <a:p>
          <a:r>
            <a:rPr lang="en-US" sz="1100"/>
            <a:t>  µ1 not equal µ2</a:t>
          </a:r>
        </a:p>
        <a:p>
          <a:endParaRPr lang="en-US" sz="1100"/>
        </a:p>
        <a:p>
          <a:r>
            <a:rPr lang="en-US" sz="1100"/>
            <a:t>Test Statistic, t: 1.8856</a:t>
          </a:r>
        </a:p>
        <a:p>
          <a:r>
            <a:rPr lang="en-US" sz="1100"/>
            <a:t>Critical t:        ±2.04227</a:t>
          </a:r>
        </a:p>
        <a:p>
          <a:r>
            <a:rPr lang="en-US" sz="1100"/>
            <a:t>P-Value:           0.0691</a:t>
          </a:r>
        </a:p>
        <a:p>
          <a:endParaRPr lang="en-US" sz="1100"/>
        </a:p>
        <a:p>
          <a:r>
            <a:rPr lang="en-US" sz="1100"/>
            <a:t>Degrees of freedom:  30.0000</a:t>
          </a:r>
        </a:p>
        <a:p>
          <a:endParaRPr lang="en-US" sz="1100"/>
        </a:p>
        <a:p>
          <a:r>
            <a:rPr lang="en-US" sz="1100"/>
            <a:t>95% Confidence interval:</a:t>
          </a:r>
        </a:p>
        <a:p>
          <a:r>
            <a:rPr lang="en-US" sz="1100"/>
            <a:t>-0.1661549 &lt; µ1-µ2 &lt; 4.166155</a:t>
          </a:r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0</xdr:rowOff>
    </xdr:from>
    <xdr:to>
      <xdr:col>18</xdr:col>
      <xdr:colOff>533400</xdr:colOff>
      <xdr:row>28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0"/>
          <a:ext cx="7105650" cy="5419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333375</xdr:colOff>
      <xdr:row>0</xdr:row>
      <xdr:rowOff>0</xdr:rowOff>
    </xdr:from>
    <xdr:to>
      <xdr:col>14</xdr:col>
      <xdr:colOff>419100</xdr:colOff>
      <xdr:row>20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0"/>
          <a:ext cx="6791325" cy="381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0</xdr:rowOff>
    </xdr:from>
    <xdr:to>
      <xdr:col>17</xdr:col>
      <xdr:colOff>342900</xdr:colOff>
      <xdr:row>21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0"/>
          <a:ext cx="7924800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17</xdr:col>
      <xdr:colOff>590550</xdr:colOff>
      <xdr:row>28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0"/>
          <a:ext cx="6753225" cy="546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1</xdr:row>
      <xdr:rowOff>28575</xdr:rowOff>
    </xdr:from>
    <xdr:to>
      <xdr:col>17</xdr:col>
      <xdr:colOff>257175</xdr:colOff>
      <xdr:row>4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19075"/>
          <a:ext cx="58293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5</xdr:row>
      <xdr:rowOff>123825</xdr:rowOff>
    </xdr:from>
    <xdr:to>
      <xdr:col>10</xdr:col>
      <xdr:colOff>123825</xdr:colOff>
      <xdr:row>8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076325"/>
          <a:ext cx="13620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142875</xdr:colOff>
      <xdr:row>35</xdr:row>
      <xdr:rowOff>76200</xdr:rowOff>
    </xdr:from>
    <xdr:to>
      <xdr:col>18</xdr:col>
      <xdr:colOff>371475</xdr:colOff>
      <xdr:row>63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6800850"/>
          <a:ext cx="69342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19050</xdr:rowOff>
    </xdr:from>
    <xdr:to>
      <xdr:col>18</xdr:col>
      <xdr:colOff>504825</xdr:colOff>
      <xdr:row>28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19050"/>
          <a:ext cx="7372350" cy="544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</xdr:colOff>
      <xdr:row>0</xdr:row>
      <xdr:rowOff>0</xdr:rowOff>
    </xdr:from>
    <xdr:to>
      <xdr:col>19</xdr:col>
      <xdr:colOff>285750</xdr:colOff>
      <xdr:row>32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0"/>
          <a:ext cx="6791325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581025</xdr:colOff>
      <xdr:row>0</xdr:row>
      <xdr:rowOff>0</xdr:rowOff>
    </xdr:from>
    <xdr:to>
      <xdr:col>20</xdr:col>
      <xdr:colOff>38100</xdr:colOff>
      <xdr:row>31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0"/>
          <a:ext cx="6772275" cy="608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0</xdr:row>
      <xdr:rowOff>85725</xdr:rowOff>
    </xdr:from>
    <xdr:to>
      <xdr:col>15</xdr:col>
      <xdr:colOff>409575</xdr:colOff>
      <xdr:row>14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114300</xdr:colOff>
      <xdr:row>38</xdr:row>
      <xdr:rowOff>0</xdr:rowOff>
    </xdr:from>
    <xdr:to>
      <xdr:col>15</xdr:col>
      <xdr:colOff>9525</xdr:colOff>
      <xdr:row>68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296150"/>
          <a:ext cx="6372225" cy="589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0</xdr:row>
      <xdr:rowOff>0</xdr:rowOff>
    </xdr:from>
    <xdr:to>
      <xdr:col>25</xdr:col>
      <xdr:colOff>352425</xdr:colOff>
      <xdr:row>27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0"/>
          <a:ext cx="6896100" cy="538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17</xdr:col>
      <xdr:colOff>352425</xdr:colOff>
      <xdr:row>38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6600825" cy="7267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0</xdr:row>
      <xdr:rowOff>0</xdr:rowOff>
    </xdr:from>
    <xdr:to>
      <xdr:col>24</xdr:col>
      <xdr:colOff>38100</xdr:colOff>
      <xdr:row>21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0"/>
          <a:ext cx="6848475" cy="416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16</xdr:row>
      <xdr:rowOff>157162</xdr:rowOff>
    </xdr:from>
    <xdr:to>
      <xdr:col>18</xdr:col>
      <xdr:colOff>495300</xdr:colOff>
      <xdr:row>31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12</xdr:row>
      <xdr:rowOff>123825</xdr:rowOff>
    </xdr:from>
    <xdr:to>
      <xdr:col>10</xdr:col>
      <xdr:colOff>523875</xdr:colOff>
      <xdr:row>49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8400"/>
          <a:ext cx="6715125" cy="699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19</xdr:row>
      <xdr:rowOff>85725</xdr:rowOff>
    </xdr:from>
    <xdr:to>
      <xdr:col>18</xdr:col>
      <xdr:colOff>9525</xdr:colOff>
      <xdr:row>39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3762375"/>
          <a:ext cx="7105650" cy="385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0</xdr:row>
      <xdr:rowOff>38100</xdr:rowOff>
    </xdr:from>
    <xdr:to>
      <xdr:col>17</xdr:col>
      <xdr:colOff>142875</xdr:colOff>
      <xdr:row>29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38100"/>
          <a:ext cx="6753225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295275</xdr:colOff>
      <xdr:row>0</xdr:row>
      <xdr:rowOff>0</xdr:rowOff>
    </xdr:from>
    <xdr:to>
      <xdr:col>20</xdr:col>
      <xdr:colOff>400050</xdr:colOff>
      <xdr:row>29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0"/>
          <a:ext cx="6810375" cy="565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562597</xdr:colOff>
      <xdr:row>0</xdr:row>
      <xdr:rowOff>0</xdr:rowOff>
    </xdr:from>
    <xdr:to>
      <xdr:col>29</xdr:col>
      <xdr:colOff>600075</xdr:colOff>
      <xdr:row>64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0421" y="0"/>
          <a:ext cx="5483536" cy="12422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438150</xdr:colOff>
      <xdr:row>0</xdr:row>
      <xdr:rowOff>152400</xdr:rowOff>
    </xdr:from>
    <xdr:to>
      <xdr:col>25</xdr:col>
      <xdr:colOff>285750</xdr:colOff>
      <xdr:row>82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52400"/>
          <a:ext cx="7772400" cy="1553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B5" sqref="B5"/>
    </sheetView>
  </sheetViews>
  <sheetFormatPr defaultRowHeight="15" x14ac:dyDescent="0.25"/>
  <sheetData>
    <row r="1" spans="1:13" x14ac:dyDescent="0.25">
      <c r="A1" t="s">
        <v>0</v>
      </c>
      <c r="F1" s="4" t="s">
        <v>2</v>
      </c>
    </row>
    <row r="2" spans="1:13" x14ac:dyDescent="0.25">
      <c r="A2" t="s">
        <v>1</v>
      </c>
      <c r="B2" s="2">
        <f>TINV(0.05,8)</f>
        <v>2.3060041352041671</v>
      </c>
      <c r="C2" s="2"/>
      <c r="D2" s="2"/>
      <c r="F2" s="4">
        <v>2191</v>
      </c>
      <c r="H2" s="3"/>
      <c r="I2" s="3"/>
      <c r="J2" s="3"/>
      <c r="K2" s="3"/>
      <c r="L2" s="3"/>
      <c r="M2" s="3"/>
    </row>
    <row r="3" spans="1:13" x14ac:dyDescent="0.25">
      <c r="A3" t="s">
        <v>3</v>
      </c>
      <c r="B3">
        <f>(F11-2160)/(F12/SQRT(9))</f>
        <v>3.5444262639055868</v>
      </c>
      <c r="F3" s="4">
        <v>2172</v>
      </c>
    </row>
    <row r="4" spans="1:13" x14ac:dyDescent="0.25">
      <c r="A4" t="s">
        <v>6</v>
      </c>
      <c r="F4" s="4">
        <v>2176</v>
      </c>
    </row>
    <row r="5" spans="1:13" x14ac:dyDescent="0.25">
      <c r="A5" t="s">
        <v>7</v>
      </c>
      <c r="B5" s="1">
        <f>TDIST(B3,8,1)</f>
        <v>3.7853863244331353E-3</v>
      </c>
      <c r="F5" s="4">
        <v>2178</v>
      </c>
    </row>
    <row r="6" spans="1:13" x14ac:dyDescent="0.25">
      <c r="F6" s="4">
        <v>2184</v>
      </c>
    </row>
    <row r="7" spans="1:13" x14ac:dyDescent="0.25">
      <c r="F7" s="4">
        <v>2162</v>
      </c>
    </row>
    <row r="8" spans="1:13" x14ac:dyDescent="0.25">
      <c r="F8" s="4">
        <v>2154</v>
      </c>
    </row>
    <row r="9" spans="1:13" x14ac:dyDescent="0.25">
      <c r="F9" s="4">
        <v>2166</v>
      </c>
    </row>
    <row r="10" spans="1:13" x14ac:dyDescent="0.25">
      <c r="F10" s="4">
        <v>2188</v>
      </c>
    </row>
    <row r="11" spans="1:13" x14ac:dyDescent="0.25">
      <c r="E11" s="5" t="s">
        <v>4</v>
      </c>
      <c r="F11" s="5">
        <f>AVERAGE($F$2:$F$10)</f>
        <v>2174.5555555555557</v>
      </c>
    </row>
    <row r="12" spans="1:13" x14ac:dyDescent="0.25">
      <c r="E12" s="5" t="s">
        <v>5</v>
      </c>
      <c r="F12" s="5">
        <f>_xlfn.STDEV.S($F$2:$F$10)</f>
        <v>12.31981240838422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7" sqref="C17"/>
    </sheetView>
  </sheetViews>
  <sheetFormatPr defaultRowHeight="15" x14ac:dyDescent="0.25"/>
  <sheetData>
    <row r="1" spans="1:3" x14ac:dyDescent="0.25">
      <c r="A1" t="s">
        <v>8</v>
      </c>
    </row>
    <row r="2" spans="1:3" x14ac:dyDescent="0.25">
      <c r="A2" t="s">
        <v>1</v>
      </c>
      <c r="B2" s="2">
        <f>TINV(0.1,69)</f>
        <v>1.6672385486685533</v>
      </c>
    </row>
    <row r="3" spans="1:3" x14ac:dyDescent="0.25">
      <c r="A3" t="s">
        <v>3</v>
      </c>
      <c r="B3" s="2">
        <f>(20-18)/(2/SQRT(70))</f>
        <v>8.3666002653407556</v>
      </c>
    </row>
    <row r="16" spans="1:3" x14ac:dyDescent="0.25">
      <c r="C16" t="s">
        <v>164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I16" workbookViewId="0">
      <selection activeCell="B4" sqref="B4"/>
    </sheetView>
  </sheetViews>
  <sheetFormatPr defaultRowHeight="15" x14ac:dyDescent="0.25"/>
  <sheetData>
    <row r="1" spans="1:6" x14ac:dyDescent="0.25">
      <c r="A1" t="s">
        <v>9</v>
      </c>
      <c r="F1" s="4" t="s">
        <v>2</v>
      </c>
    </row>
    <row r="2" spans="1:6" x14ac:dyDescent="0.25">
      <c r="A2" t="s">
        <v>1</v>
      </c>
      <c r="F2" s="4">
        <v>10.6</v>
      </c>
    </row>
    <row r="3" spans="1:6" x14ac:dyDescent="0.25">
      <c r="A3" t="s">
        <v>3</v>
      </c>
      <c r="B3" s="2">
        <f>+-TINV(0.2,7)</f>
        <v>-1.4149239276505079</v>
      </c>
      <c r="F3" s="4">
        <v>9.1999999999999993</v>
      </c>
    </row>
    <row r="4" spans="1:6" x14ac:dyDescent="0.25">
      <c r="A4" t="s">
        <v>6</v>
      </c>
      <c r="B4" s="2">
        <f>(F11-10)/(F12/SQRT(8))</f>
        <v>-0.75069273840346407</v>
      </c>
      <c r="F4" s="4">
        <v>9.4</v>
      </c>
    </row>
    <row r="5" spans="1:6" x14ac:dyDescent="0.25">
      <c r="F5" s="4">
        <v>9.9</v>
      </c>
    </row>
    <row r="6" spans="1:6" x14ac:dyDescent="0.25">
      <c r="F6" s="4">
        <v>9.6</v>
      </c>
    </row>
    <row r="7" spans="1:6" x14ac:dyDescent="0.25">
      <c r="F7" s="4">
        <v>10.4</v>
      </c>
    </row>
    <row r="8" spans="1:6" x14ac:dyDescent="0.25">
      <c r="F8" s="4">
        <v>10.3</v>
      </c>
    </row>
    <row r="9" spans="1:6" x14ac:dyDescent="0.25">
      <c r="F9" s="4">
        <v>9.5</v>
      </c>
    </row>
    <row r="11" spans="1:6" x14ac:dyDescent="0.25">
      <c r="E11" t="s">
        <v>4</v>
      </c>
      <c r="F11">
        <f>AVERAGE($F$2:$F$9)</f>
        <v>9.8624999999999989</v>
      </c>
    </row>
    <row r="12" spans="1:6" x14ac:dyDescent="0.25">
      <c r="E12" t="s">
        <v>5</v>
      </c>
      <c r="F12">
        <f>_xlfn.STDEV.S($F$2:$F$9)</f>
        <v>0.51806646016013946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E10" workbookViewId="0">
      <selection activeCell="C19" sqref="C19"/>
    </sheetView>
  </sheetViews>
  <sheetFormatPr defaultRowHeight="15" x14ac:dyDescent="0.25"/>
  <sheetData>
    <row r="1" spans="1:2" x14ac:dyDescent="0.25">
      <c r="A1" t="s">
        <v>10</v>
      </c>
    </row>
    <row r="2" spans="1:2" x14ac:dyDescent="0.25">
      <c r="A2" t="s">
        <v>11</v>
      </c>
      <c r="B2" s="2">
        <f>(53-51)/(4.5/SQRT(60))</f>
        <v>3.4426518632954815</v>
      </c>
    </row>
    <row r="3" spans="1:2" x14ac:dyDescent="0.25">
      <c r="A3" t="s">
        <v>12</v>
      </c>
      <c r="B3" s="2">
        <f>+TINV(0.2,59)</f>
        <v>1.2960657251220524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26" sqref="D26"/>
    </sheetView>
  </sheetViews>
  <sheetFormatPr defaultRowHeight="15" x14ac:dyDescent="0.25"/>
  <cols>
    <col min="2" max="2" width="12" bestFit="1" customWidth="1"/>
  </cols>
  <sheetData>
    <row r="1" spans="1:2" x14ac:dyDescent="0.25">
      <c r="A1" t="s">
        <v>13</v>
      </c>
    </row>
    <row r="2" spans="1:2" x14ac:dyDescent="0.25">
      <c r="A2" t="s">
        <v>1</v>
      </c>
    </row>
    <row r="3" spans="1:2" x14ac:dyDescent="0.25">
      <c r="A3" t="s">
        <v>3</v>
      </c>
      <c r="B3" s="2">
        <f>NORMSINV(0.02)</f>
        <v>-2.0537489106318225</v>
      </c>
    </row>
    <row r="4" spans="1:2" x14ac:dyDescent="0.25">
      <c r="A4" t="s">
        <v>6</v>
      </c>
      <c r="B4" s="7">
        <f>(7.8-8.4)/(0.9/SQRT(77))</f>
        <v>-5.8499762582614201</v>
      </c>
    </row>
    <row r="5" spans="1:2" x14ac:dyDescent="0.25">
      <c r="A5" t="s">
        <v>7</v>
      </c>
    </row>
    <row r="6" spans="1:2" x14ac:dyDescent="0.25">
      <c r="A6" t="s">
        <v>14</v>
      </c>
      <c r="B6">
        <f>NORMSDIST(B4)</f>
        <v>2.4582159197331307E-9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17" sqref="D17"/>
    </sheetView>
  </sheetViews>
  <sheetFormatPr defaultRowHeight="15" x14ac:dyDescent="0.25"/>
  <sheetData>
    <row r="1" spans="1:2" x14ac:dyDescent="0.25">
      <c r="A1" t="s">
        <v>15</v>
      </c>
    </row>
    <row r="2" spans="1:2" x14ac:dyDescent="0.25">
      <c r="A2" t="s">
        <v>1</v>
      </c>
      <c r="B2" s="2">
        <f>TINV(0.1,99)</f>
        <v>1.6603911560169928</v>
      </c>
    </row>
    <row r="3" spans="1:2" x14ac:dyDescent="0.25">
      <c r="A3" t="s">
        <v>3</v>
      </c>
      <c r="B3" s="6">
        <f>(84-80)/(19/SQRT(100))</f>
        <v>2.1052631578947367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19" workbookViewId="0">
      <selection activeCell="D9" sqref="D9"/>
    </sheetView>
  </sheetViews>
  <sheetFormatPr defaultRowHeight="15" x14ac:dyDescent="0.25"/>
  <sheetData>
    <row r="1" spans="1:2" x14ac:dyDescent="0.25">
      <c r="A1" t="s">
        <v>16</v>
      </c>
    </row>
    <row r="2" spans="1:2" x14ac:dyDescent="0.25">
      <c r="A2" t="s">
        <v>1</v>
      </c>
      <c r="B2" s="2">
        <f>-TINV(0.1,33)</f>
        <v>-1.6923603090303456</v>
      </c>
    </row>
    <row r="3" spans="1:2" x14ac:dyDescent="0.25">
      <c r="A3" t="s">
        <v>3</v>
      </c>
      <c r="B3" s="2">
        <f>(53.6-55.3)/(4.6/SQRT(34))</f>
        <v>-2.1549170046167365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11" sqref="J11"/>
    </sheetView>
  </sheetViews>
  <sheetFormatPr defaultRowHeight="15" x14ac:dyDescent="0.25"/>
  <sheetData>
    <row r="1" spans="1:8" x14ac:dyDescent="0.25">
      <c r="A1" t="s">
        <v>17</v>
      </c>
      <c r="H1" t="s">
        <v>2</v>
      </c>
    </row>
    <row r="2" spans="1:8" x14ac:dyDescent="0.25">
      <c r="A2" t="s">
        <v>1</v>
      </c>
      <c r="B2" s="2">
        <f>TINV(0.05,17)</f>
        <v>2.109815577833317</v>
      </c>
      <c r="F2" t="s">
        <v>18</v>
      </c>
      <c r="G2">
        <f>COUNT($H$2:$H$19)</f>
        <v>18</v>
      </c>
      <c r="H2">
        <v>-0.77</v>
      </c>
    </row>
    <row r="3" spans="1:8" x14ac:dyDescent="0.25">
      <c r="A3" t="s">
        <v>3</v>
      </c>
      <c r="B3" s="2">
        <f>(G3-0)/(G4/SQRT(18))</f>
        <v>-2.6806062437964666</v>
      </c>
      <c r="F3" t="s">
        <v>4</v>
      </c>
      <c r="G3">
        <f>AVERAGE($H$2:$H$19)</f>
        <v>-0.2877777777777778</v>
      </c>
      <c r="H3">
        <v>-0.65</v>
      </c>
    </row>
    <row r="4" spans="1:8" x14ac:dyDescent="0.25">
      <c r="A4" t="s">
        <v>6</v>
      </c>
      <c r="B4" s="1">
        <f>TDIST(ABS(B3),17,2)</f>
        <v>1.580144820471301E-2</v>
      </c>
      <c r="C4" t="s">
        <v>19</v>
      </c>
      <c r="F4" t="s">
        <v>5</v>
      </c>
      <c r="G4">
        <f>_xlfn.STDEV.S($H$2:$H$19)</f>
        <v>0.4554707397531062</v>
      </c>
      <c r="H4">
        <v>-0.26</v>
      </c>
    </row>
    <row r="5" spans="1:8" x14ac:dyDescent="0.25">
      <c r="H5">
        <v>-0.18</v>
      </c>
    </row>
    <row r="6" spans="1:8" x14ac:dyDescent="0.25">
      <c r="H6">
        <v>0.12</v>
      </c>
    </row>
    <row r="7" spans="1:8" x14ac:dyDescent="0.25">
      <c r="H7">
        <v>-0.23</v>
      </c>
    </row>
    <row r="8" spans="1:8" x14ac:dyDescent="0.25">
      <c r="H8">
        <v>0.36</v>
      </c>
    </row>
    <row r="9" spans="1:8" x14ac:dyDescent="0.25">
      <c r="H9">
        <v>0.8</v>
      </c>
    </row>
    <row r="10" spans="1:8" x14ac:dyDescent="0.25">
      <c r="H10">
        <v>-0.59</v>
      </c>
    </row>
    <row r="11" spans="1:8" x14ac:dyDescent="0.25">
      <c r="H11">
        <v>-0.14000000000000001</v>
      </c>
    </row>
    <row r="12" spans="1:8" x14ac:dyDescent="0.25">
      <c r="H12">
        <v>-0.34</v>
      </c>
    </row>
    <row r="13" spans="1:8" x14ac:dyDescent="0.25">
      <c r="H13">
        <v>-0.66</v>
      </c>
    </row>
    <row r="14" spans="1:8" x14ac:dyDescent="0.25">
      <c r="H14">
        <v>-0.27</v>
      </c>
    </row>
    <row r="15" spans="1:8" x14ac:dyDescent="0.25">
      <c r="H15">
        <v>-0.69</v>
      </c>
    </row>
    <row r="16" spans="1:8" x14ac:dyDescent="0.25">
      <c r="H16">
        <v>-0.43</v>
      </c>
    </row>
    <row r="17" spans="8:8" x14ac:dyDescent="0.25">
      <c r="H17">
        <v>-0.73</v>
      </c>
    </row>
    <row r="18" spans="8:8" x14ac:dyDescent="0.25">
      <c r="H18">
        <v>-0.87</v>
      </c>
    </row>
    <row r="19" spans="8:8" x14ac:dyDescent="0.25">
      <c r="H19">
        <v>0.35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10" sqref="D10"/>
    </sheetView>
  </sheetViews>
  <sheetFormatPr defaultRowHeight="15" x14ac:dyDescent="0.25"/>
  <sheetData>
    <row r="1" spans="1:2" x14ac:dyDescent="0.25">
      <c r="A1" t="s">
        <v>20</v>
      </c>
    </row>
    <row r="2" spans="1:2" x14ac:dyDescent="0.25">
      <c r="A2" t="s">
        <v>1</v>
      </c>
    </row>
    <row r="3" spans="1:2" x14ac:dyDescent="0.25">
      <c r="A3" t="s">
        <v>3</v>
      </c>
      <c r="B3" s="6">
        <f>NORMSINV(0.025)</f>
        <v>-1.9599639845400538</v>
      </c>
    </row>
    <row r="4" spans="1:2" x14ac:dyDescent="0.25">
      <c r="A4" t="s">
        <v>6</v>
      </c>
      <c r="B4" s="6">
        <f>(492/1002-0.5)/SQRT(0.5*0.5/1002)</f>
        <v>-0.56864162124590811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9" sqref="C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15" sqref="D15"/>
    </sheetView>
  </sheetViews>
  <sheetFormatPr defaultRowHeight="15" x14ac:dyDescent="0.25"/>
  <cols>
    <col min="5" max="5" width="11.5703125" customWidth="1"/>
  </cols>
  <sheetData>
    <row r="1" spans="1:6" x14ac:dyDescent="0.25">
      <c r="A1" t="s">
        <v>21</v>
      </c>
      <c r="F1" t="s">
        <v>2</v>
      </c>
    </row>
    <row r="2" spans="1:6" x14ac:dyDescent="0.25">
      <c r="A2" t="s">
        <v>1</v>
      </c>
      <c r="D2" t="s">
        <v>18</v>
      </c>
      <c r="E2">
        <f>COUNT($F$2:$F$21)</f>
        <v>20</v>
      </c>
      <c r="F2">
        <v>17</v>
      </c>
    </row>
    <row r="3" spans="1:6" x14ac:dyDescent="0.25">
      <c r="A3" t="s">
        <v>3</v>
      </c>
      <c r="D3" t="s">
        <v>4</v>
      </c>
      <c r="E3">
        <f>AVERAGE($F$2:$F$21)</f>
        <v>14.65</v>
      </c>
      <c r="F3">
        <v>17</v>
      </c>
    </row>
    <row r="4" spans="1:6" x14ac:dyDescent="0.25">
      <c r="A4" t="s">
        <v>6</v>
      </c>
      <c r="B4" s="2">
        <f>-TINV(0.04,19)</f>
        <v>-2.2047013507416078</v>
      </c>
      <c r="D4" t="s">
        <v>5</v>
      </c>
      <c r="E4">
        <f>_xlfn.STDEV.S($F$2:$F$21)</f>
        <v>2.1588252165910706</v>
      </c>
      <c r="F4">
        <v>17</v>
      </c>
    </row>
    <row r="5" spans="1:6" x14ac:dyDescent="0.25">
      <c r="A5" t="s">
        <v>7</v>
      </c>
      <c r="B5" s="6">
        <f>(E3-17)/(E4/SQRT(20))</f>
        <v>-4.8681659883722519</v>
      </c>
      <c r="F5">
        <v>16</v>
      </c>
    </row>
    <row r="6" spans="1:6" x14ac:dyDescent="0.25">
      <c r="F6">
        <v>15</v>
      </c>
    </row>
    <row r="7" spans="1:6" x14ac:dyDescent="0.25">
      <c r="F7">
        <v>17</v>
      </c>
    </row>
    <row r="8" spans="1:6" x14ac:dyDescent="0.25">
      <c r="F8">
        <v>12</v>
      </c>
    </row>
    <row r="9" spans="1:6" x14ac:dyDescent="0.25">
      <c r="F9">
        <v>18</v>
      </c>
    </row>
    <row r="10" spans="1:6" x14ac:dyDescent="0.25">
      <c r="F10">
        <v>12</v>
      </c>
    </row>
    <row r="11" spans="1:6" x14ac:dyDescent="0.25">
      <c r="F11">
        <v>13</v>
      </c>
    </row>
    <row r="12" spans="1:6" x14ac:dyDescent="0.25">
      <c r="F12">
        <v>16</v>
      </c>
    </row>
    <row r="13" spans="1:6" x14ac:dyDescent="0.25">
      <c r="F13">
        <v>16</v>
      </c>
    </row>
    <row r="14" spans="1:6" x14ac:dyDescent="0.25">
      <c r="F14">
        <v>14</v>
      </c>
    </row>
    <row r="15" spans="1:6" x14ac:dyDescent="0.25">
      <c r="F15">
        <v>13</v>
      </c>
    </row>
    <row r="16" spans="1:6" x14ac:dyDescent="0.25">
      <c r="F16">
        <v>16</v>
      </c>
    </row>
    <row r="17" spans="6:6" x14ac:dyDescent="0.25">
      <c r="F17">
        <v>12</v>
      </c>
    </row>
    <row r="18" spans="6:6" x14ac:dyDescent="0.25">
      <c r="F18">
        <v>15</v>
      </c>
    </row>
    <row r="19" spans="6:6" x14ac:dyDescent="0.25">
      <c r="F19">
        <v>12</v>
      </c>
    </row>
    <row r="20" spans="6:6" x14ac:dyDescent="0.25">
      <c r="F20">
        <v>11</v>
      </c>
    </row>
    <row r="21" spans="6:6" x14ac:dyDescent="0.25">
      <c r="F21">
        <v>14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8" sqref="E18"/>
    </sheetView>
  </sheetViews>
  <sheetFormatPr defaultRowHeight="15" x14ac:dyDescent="0.25"/>
  <sheetData>
    <row r="1" spans="1:2" x14ac:dyDescent="0.25">
      <c r="A1" t="s">
        <v>22</v>
      </c>
    </row>
    <row r="2" spans="1:2" x14ac:dyDescent="0.25">
      <c r="A2" t="s">
        <v>1</v>
      </c>
      <c r="B2" s="2">
        <f>-NORMSINV(0.1)</f>
        <v>1.2815515655446006</v>
      </c>
    </row>
    <row r="3" spans="1:2" x14ac:dyDescent="0.25">
      <c r="A3" t="s">
        <v>3</v>
      </c>
      <c r="B3" s="2">
        <f>(52/78-0.65)/SQRT(0.65*0.35/78)</f>
        <v>0.30860669992418271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opLeftCell="D1" workbookViewId="0">
      <selection activeCell="I21" sqref="I21"/>
    </sheetView>
  </sheetViews>
  <sheetFormatPr defaultRowHeight="15" x14ac:dyDescent="0.25"/>
  <cols>
    <col min="15" max="15" width="13.140625" customWidth="1"/>
    <col min="20" max="20" width="19" customWidth="1"/>
  </cols>
  <sheetData>
    <row r="1" spans="1:22" x14ac:dyDescent="0.25">
      <c r="A1" t="s">
        <v>23</v>
      </c>
      <c r="D1" t="s">
        <v>23</v>
      </c>
      <c r="G1" t="s">
        <v>2</v>
      </c>
      <c r="H1" t="s">
        <v>24</v>
      </c>
      <c r="I1" t="s">
        <v>25</v>
      </c>
      <c r="K1" t="s">
        <v>26</v>
      </c>
      <c r="O1" s="11" t="s">
        <v>34</v>
      </c>
      <c r="P1" s="11"/>
      <c r="Q1" s="11"/>
      <c r="R1" s="11"/>
      <c r="S1" s="11"/>
      <c r="T1" t="s">
        <v>42</v>
      </c>
    </row>
    <row r="2" spans="1:22" ht="15.75" thickBot="1" x14ac:dyDescent="0.3">
      <c r="D2" t="s">
        <v>1</v>
      </c>
      <c r="E2" s="2">
        <f>TINV(0.01,10)</f>
        <v>3.1692726726169518</v>
      </c>
      <c r="H2">
        <v>3</v>
      </c>
      <c r="I2">
        <v>5</v>
      </c>
    </row>
    <row r="3" spans="1:22" x14ac:dyDescent="0.25">
      <c r="D3" t="s">
        <v>3</v>
      </c>
      <c r="E3" s="2">
        <f>P7</f>
        <v>4.2514285714285718</v>
      </c>
      <c r="H3">
        <v>0</v>
      </c>
      <c r="I3">
        <v>0</v>
      </c>
      <c r="K3" s="10"/>
      <c r="L3" s="10" t="s">
        <v>24</v>
      </c>
      <c r="M3" s="10" t="s">
        <v>25</v>
      </c>
      <c r="O3" s="10"/>
      <c r="P3" s="10" t="s">
        <v>24</v>
      </c>
      <c r="Q3" s="10" t="s">
        <v>25</v>
      </c>
      <c r="T3" s="10"/>
      <c r="U3" s="10" t="s">
        <v>24</v>
      </c>
      <c r="V3" s="10" t="s">
        <v>25</v>
      </c>
    </row>
    <row r="4" spans="1:22" x14ac:dyDescent="0.25">
      <c r="D4" t="s">
        <v>6</v>
      </c>
      <c r="E4" s="6">
        <f>P10</f>
        <v>0.52063168139314253</v>
      </c>
      <c r="H4">
        <v>5</v>
      </c>
      <c r="I4">
        <v>3</v>
      </c>
      <c r="K4" s="8" t="s">
        <v>27</v>
      </c>
      <c r="L4" s="8">
        <v>2.4285714285714284</v>
      </c>
      <c r="M4" s="8">
        <v>1.8</v>
      </c>
      <c r="O4" s="8" t="s">
        <v>27</v>
      </c>
      <c r="P4" s="8">
        <v>2.4285714285714284</v>
      </c>
      <c r="Q4" s="8">
        <v>1.8</v>
      </c>
      <c r="T4" s="8" t="s">
        <v>27</v>
      </c>
      <c r="U4" s="8">
        <v>2.4285714285714284</v>
      </c>
      <c r="V4" s="8">
        <v>1.8</v>
      </c>
    </row>
    <row r="5" spans="1:22" x14ac:dyDescent="0.25">
      <c r="D5" t="s">
        <v>7</v>
      </c>
      <c r="E5" s="1">
        <f>TDIST(E4,10,2)</f>
        <v>0.61395495019189583</v>
      </c>
      <c r="H5">
        <v>5</v>
      </c>
      <c r="I5">
        <v>0</v>
      </c>
      <c r="K5" s="8" t="s">
        <v>28</v>
      </c>
      <c r="L5" s="8">
        <v>3.9523809523809526</v>
      </c>
      <c r="M5" s="8">
        <v>4.7</v>
      </c>
      <c r="O5" s="8" t="s">
        <v>28</v>
      </c>
      <c r="P5" s="8">
        <v>3.9523809523809526</v>
      </c>
      <c r="Q5" s="8">
        <v>4.7</v>
      </c>
      <c r="T5" s="8" t="s">
        <v>28</v>
      </c>
      <c r="U5" s="8">
        <v>3.9523809523809526</v>
      </c>
      <c r="V5" s="8">
        <v>4.7</v>
      </c>
    </row>
    <row r="6" spans="1:22" x14ac:dyDescent="0.25">
      <c r="H6">
        <v>1</v>
      </c>
      <c r="I6">
        <v>1</v>
      </c>
      <c r="K6" s="8" t="s">
        <v>29</v>
      </c>
      <c r="L6" s="8">
        <v>7</v>
      </c>
      <c r="M6" s="8">
        <v>5</v>
      </c>
      <c r="O6" s="8" t="s">
        <v>29</v>
      </c>
      <c r="P6" s="8">
        <v>7</v>
      </c>
      <c r="Q6" s="8">
        <v>5</v>
      </c>
      <c r="T6" s="8" t="s">
        <v>29</v>
      </c>
      <c r="U6" s="8">
        <v>7</v>
      </c>
      <c r="V6" s="8">
        <v>5</v>
      </c>
    </row>
    <row r="7" spans="1:22" x14ac:dyDescent="0.25">
      <c r="H7">
        <v>2</v>
      </c>
      <c r="K7" s="8" t="s">
        <v>30</v>
      </c>
      <c r="L7" s="8">
        <v>6</v>
      </c>
      <c r="M7" s="8">
        <v>4</v>
      </c>
      <c r="O7" s="8" t="s">
        <v>35</v>
      </c>
      <c r="P7" s="8">
        <v>4.2514285714285718</v>
      </c>
      <c r="Q7" s="8"/>
      <c r="T7" s="8" t="s">
        <v>36</v>
      </c>
      <c r="U7" s="8">
        <v>0</v>
      </c>
      <c r="V7" s="8"/>
    </row>
    <row r="8" spans="1:22" x14ac:dyDescent="0.25">
      <c r="H8">
        <v>1</v>
      </c>
      <c r="K8" s="8" t="s">
        <v>31</v>
      </c>
      <c r="L8" s="8">
        <v>0.84093211752786223</v>
      </c>
      <c r="M8" s="8"/>
      <c r="O8" s="8" t="s">
        <v>36</v>
      </c>
      <c r="P8" s="8">
        <v>0</v>
      </c>
      <c r="Q8" s="8"/>
      <c r="T8" s="8" t="s">
        <v>30</v>
      </c>
      <c r="U8" s="8">
        <v>8</v>
      </c>
      <c r="V8" s="8"/>
    </row>
    <row r="9" spans="1:22" x14ac:dyDescent="0.25">
      <c r="K9" s="8" t="s">
        <v>32</v>
      </c>
      <c r="L9" s="8">
        <v>0.40378447404285545</v>
      </c>
      <c r="M9" s="8"/>
      <c r="O9" s="8" t="s">
        <v>30</v>
      </c>
      <c r="P9" s="8">
        <v>10</v>
      </c>
      <c r="Q9" s="8"/>
      <c r="T9" s="8" t="s">
        <v>37</v>
      </c>
      <c r="U9" s="8">
        <v>0.51243687844464259</v>
      </c>
      <c r="V9" s="8"/>
    </row>
    <row r="10" spans="1:22" ht="15.75" thickBot="1" x14ac:dyDescent="0.3">
      <c r="K10" s="9" t="s">
        <v>33</v>
      </c>
      <c r="L10" s="9">
        <v>0.22057151644633377</v>
      </c>
      <c r="M10" s="9"/>
      <c r="O10" s="8" t="s">
        <v>37</v>
      </c>
      <c r="P10" s="8">
        <v>0.52063168139314253</v>
      </c>
      <c r="Q10" s="8"/>
      <c r="T10" s="8" t="s">
        <v>38</v>
      </c>
      <c r="U10" s="8">
        <v>0.31109489778089028</v>
      </c>
      <c r="V10" s="8"/>
    </row>
    <row r="11" spans="1:22" x14ac:dyDescent="0.25">
      <c r="O11" s="8" t="s">
        <v>38</v>
      </c>
      <c r="P11" s="8">
        <v>0.30697747509594792</v>
      </c>
      <c r="Q11" s="8"/>
      <c r="T11" s="8" t="s">
        <v>39</v>
      </c>
      <c r="U11" s="8" t="e">
        <v>#NUM!</v>
      </c>
      <c r="V11" s="8"/>
    </row>
    <row r="12" spans="1:22" x14ac:dyDescent="0.25">
      <c r="O12" s="8" t="s">
        <v>39</v>
      </c>
      <c r="P12" s="8">
        <v>2.7637694581126966</v>
      </c>
      <c r="Q12" s="8"/>
      <c r="T12" s="8" t="s">
        <v>40</v>
      </c>
      <c r="U12" s="8">
        <v>0.62218979556178056</v>
      </c>
      <c r="V12" s="8"/>
    </row>
    <row r="13" spans="1:22" ht="15.75" thickBot="1" x14ac:dyDescent="0.3">
      <c r="O13" s="8" t="s">
        <v>40</v>
      </c>
      <c r="P13" s="8">
        <v>0.61395495019189583</v>
      </c>
      <c r="Q13" s="8"/>
      <c r="T13" s="9" t="s">
        <v>41</v>
      </c>
      <c r="U13" s="9" t="e">
        <v>#NUM!</v>
      </c>
      <c r="V13" s="9"/>
    </row>
    <row r="14" spans="1:22" ht="15.75" thickBot="1" x14ac:dyDescent="0.3">
      <c r="O14" s="9" t="s">
        <v>41</v>
      </c>
      <c r="P14" s="9">
        <v>3.1692726726169518</v>
      </c>
      <c r="Q14" s="9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4" sqref="B4"/>
    </sheetView>
  </sheetViews>
  <sheetFormatPr defaultRowHeight="15" x14ac:dyDescent="0.25"/>
  <cols>
    <col min="2" max="2" width="14.5703125" customWidth="1"/>
  </cols>
  <sheetData>
    <row r="1" spans="1:2" x14ac:dyDescent="0.25">
      <c r="A1" t="s">
        <v>43</v>
      </c>
    </row>
    <row r="2" spans="1:2" x14ac:dyDescent="0.25">
      <c r="A2" t="s">
        <v>1</v>
      </c>
      <c r="B2" s="2">
        <f>-NORMSINV(0.05)</f>
        <v>1.6448536269514726</v>
      </c>
    </row>
    <row r="3" spans="1:2" x14ac:dyDescent="0.25">
      <c r="A3" t="s">
        <v>3</v>
      </c>
      <c r="B3" s="6">
        <f>(67+89)/(98+131)</f>
        <v>0.68122270742358082</v>
      </c>
    </row>
    <row r="4" spans="1:2" x14ac:dyDescent="0.25">
      <c r="A4" t="s">
        <v>6</v>
      </c>
      <c r="B4" s="6">
        <f>(67/98-89/131)/SQRT(B3*(1-B3)/98+B3*(1-B3)/131)</f>
        <v>6.8834793794189483E-2</v>
      </c>
    </row>
    <row r="5" spans="1:2" x14ac:dyDescent="0.25">
      <c r="A5" t="s">
        <v>7</v>
      </c>
    </row>
    <row r="6" spans="1:2" x14ac:dyDescent="0.25">
      <c r="A6" t="s">
        <v>14</v>
      </c>
      <c r="B6" s="1">
        <f>1-NORMSDIST(B4)</f>
        <v>0.47256056115860634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4" sqref="B4"/>
    </sheetView>
  </sheetViews>
  <sheetFormatPr defaultRowHeight="15" x14ac:dyDescent="0.25"/>
  <sheetData>
    <row r="1" spans="1:2" x14ac:dyDescent="0.25">
      <c r="A1" t="s">
        <v>44</v>
      </c>
    </row>
    <row r="2" spans="1:2" x14ac:dyDescent="0.25">
      <c r="A2" t="s">
        <v>1</v>
      </c>
      <c r="B2" s="2">
        <f>TINV(0.01,9+11-2)</f>
        <v>2.8784404727386073</v>
      </c>
    </row>
    <row r="3" spans="1:2" x14ac:dyDescent="0.25">
      <c r="A3" t="s">
        <v>3</v>
      </c>
      <c r="B3" s="2">
        <f>((9-1)*(4^2)+(11-1)*(3^2))/(9+11-2)</f>
        <v>12.111111111111111</v>
      </c>
    </row>
    <row r="4" spans="1:2" x14ac:dyDescent="0.25">
      <c r="A4" t="s">
        <v>6</v>
      </c>
      <c r="B4" s="2">
        <f>(26-27)/SQRT(B3*((1/9)+(1/11)))</f>
        <v>-0.63930868626218063</v>
      </c>
    </row>
    <row r="5" spans="1:2" x14ac:dyDescent="0.25">
      <c r="A5" t="s">
        <v>7</v>
      </c>
      <c r="B5" s="1">
        <f>TDIST(ABS(B4),9+11-2,2)</f>
        <v>0.53067478645883925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11" sqref="D11"/>
    </sheetView>
  </sheetViews>
  <sheetFormatPr defaultRowHeight="15" x14ac:dyDescent="0.25"/>
  <sheetData>
    <row r="1" spans="1:10" x14ac:dyDescent="0.25">
      <c r="A1" t="s">
        <v>48</v>
      </c>
      <c r="F1" t="s">
        <v>2</v>
      </c>
      <c r="G1" t="s">
        <v>45</v>
      </c>
      <c r="H1" t="s">
        <v>46</v>
      </c>
      <c r="I1" t="s">
        <v>49</v>
      </c>
      <c r="J1" t="s">
        <v>47</v>
      </c>
    </row>
    <row r="2" spans="1:10" x14ac:dyDescent="0.25">
      <c r="A2" t="s">
        <v>1</v>
      </c>
      <c r="B2" s="2">
        <f>-TINV(0.02,7)</f>
        <v>-2.997951566868529</v>
      </c>
      <c r="G2">
        <v>4</v>
      </c>
      <c r="H2">
        <v>3</v>
      </c>
      <c r="I2">
        <f>G2-H2</f>
        <v>1</v>
      </c>
    </row>
    <row r="3" spans="1:10" x14ac:dyDescent="0.25">
      <c r="A3" t="s">
        <v>3</v>
      </c>
      <c r="B3" s="2">
        <f>I11/(I12/SQRT(8))</f>
        <v>-1.7682586899081987</v>
      </c>
      <c r="G3">
        <v>7</v>
      </c>
      <c r="H3">
        <v>7</v>
      </c>
      <c r="I3">
        <f t="shared" ref="I3:I9" si="0">G3-H3</f>
        <v>0</v>
      </c>
    </row>
    <row r="4" spans="1:10" x14ac:dyDescent="0.25">
      <c r="A4" t="s">
        <v>6</v>
      </c>
      <c r="B4" s="1">
        <f>TDIST(ABS(B3),7,1)</f>
        <v>6.0171050543156322E-2</v>
      </c>
      <c r="G4">
        <v>5</v>
      </c>
      <c r="H4">
        <v>5</v>
      </c>
      <c r="I4">
        <f t="shared" si="0"/>
        <v>0</v>
      </c>
    </row>
    <row r="5" spans="1:10" x14ac:dyDescent="0.25">
      <c r="G5">
        <v>4</v>
      </c>
      <c r="H5">
        <v>8</v>
      </c>
      <c r="I5">
        <f t="shared" si="0"/>
        <v>-4</v>
      </c>
    </row>
    <row r="6" spans="1:10" x14ac:dyDescent="0.25">
      <c r="G6">
        <v>4</v>
      </c>
      <c r="H6">
        <v>8</v>
      </c>
      <c r="I6">
        <f t="shared" si="0"/>
        <v>-4</v>
      </c>
    </row>
    <row r="7" spans="1:10" x14ac:dyDescent="0.25">
      <c r="G7">
        <v>6</v>
      </c>
      <c r="H7">
        <v>10</v>
      </c>
      <c r="I7">
        <f t="shared" si="0"/>
        <v>-4</v>
      </c>
    </row>
    <row r="8" spans="1:10" x14ac:dyDescent="0.25">
      <c r="G8">
        <v>3</v>
      </c>
      <c r="H8">
        <v>11</v>
      </c>
      <c r="I8">
        <f t="shared" si="0"/>
        <v>-8</v>
      </c>
    </row>
    <row r="9" spans="1:10" x14ac:dyDescent="0.25">
      <c r="G9">
        <v>5</v>
      </c>
      <c r="H9">
        <v>3</v>
      </c>
      <c r="I9">
        <f t="shared" si="0"/>
        <v>2</v>
      </c>
    </row>
    <row r="11" spans="1:10" x14ac:dyDescent="0.25">
      <c r="H11" t="s">
        <v>4</v>
      </c>
      <c r="I11">
        <f>AVERAGE($I$2:$I$9)</f>
        <v>-2.125</v>
      </c>
    </row>
    <row r="12" spans="1:10" x14ac:dyDescent="0.25">
      <c r="H12" t="s">
        <v>5</v>
      </c>
      <c r="I12">
        <f>_xlfn.STDEV.S($I$2:$I$9)</f>
        <v>3.399054490379851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10" sqref="C10"/>
    </sheetView>
  </sheetViews>
  <sheetFormatPr defaultRowHeight="15" x14ac:dyDescent="0.25"/>
  <sheetData>
    <row r="1" spans="1:2" x14ac:dyDescent="0.25">
      <c r="A1" t="s">
        <v>50</v>
      </c>
    </row>
    <row r="2" spans="1:2" x14ac:dyDescent="0.25">
      <c r="A2" t="s">
        <v>1</v>
      </c>
      <c r="B2" s="6">
        <f>NORMSINV(0.01/2)</f>
        <v>-2.5758293035488999</v>
      </c>
    </row>
    <row r="3" spans="1:2" x14ac:dyDescent="0.25">
      <c r="A3" t="s">
        <v>3</v>
      </c>
      <c r="B3" s="1">
        <f>(50+52)/(285+210)</f>
        <v>0.20606060606060606</v>
      </c>
    </row>
    <row r="4" spans="1:2" x14ac:dyDescent="0.25">
      <c r="A4" t="s">
        <v>6</v>
      </c>
      <c r="B4" s="6">
        <f>(50/285-52/210)/SQRT(B3*(1-B3)/285+B3*(1-B3)/210)</f>
        <v>-1.9622661306009268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Q2" sqref="Q2"/>
    </sheetView>
  </sheetViews>
  <sheetFormatPr defaultRowHeight="15" x14ac:dyDescent="0.25"/>
  <cols>
    <col min="13" max="13" width="13.140625" customWidth="1"/>
  </cols>
  <sheetData>
    <row r="1" spans="1:15" x14ac:dyDescent="0.25">
      <c r="A1" t="s">
        <v>51</v>
      </c>
      <c r="F1" t="s">
        <v>2</v>
      </c>
      <c r="I1" t="s">
        <v>26</v>
      </c>
      <c r="M1" t="s">
        <v>34</v>
      </c>
    </row>
    <row r="2" spans="1:15" ht="15.75" thickBot="1" x14ac:dyDescent="0.3">
      <c r="A2" t="s">
        <v>1</v>
      </c>
      <c r="B2" s="2">
        <f>N12</f>
        <v>2.7180791838138614</v>
      </c>
      <c r="F2" t="s">
        <v>52</v>
      </c>
      <c r="G2" t="s">
        <v>53</v>
      </c>
    </row>
    <row r="3" spans="1:15" x14ac:dyDescent="0.25">
      <c r="A3" t="s">
        <v>3</v>
      </c>
      <c r="B3" s="6">
        <f>N7</f>
        <v>332.69913419913394</v>
      </c>
      <c r="F3">
        <v>142</v>
      </c>
      <c r="G3">
        <v>130</v>
      </c>
      <c r="I3" s="10"/>
      <c r="J3" s="10" t="s">
        <v>52</v>
      </c>
      <c r="K3" s="10" t="s">
        <v>53</v>
      </c>
      <c r="M3" s="10"/>
      <c r="N3" s="10" t="s">
        <v>52</v>
      </c>
      <c r="O3" s="10" t="s">
        <v>53</v>
      </c>
    </row>
    <row r="4" spans="1:15" x14ac:dyDescent="0.25">
      <c r="A4" t="s">
        <v>6</v>
      </c>
      <c r="B4" s="2">
        <f>N10</f>
        <v>1.8042810303464321</v>
      </c>
      <c r="F4">
        <v>170</v>
      </c>
      <c r="G4">
        <v>124</v>
      </c>
      <c r="I4" s="8" t="s">
        <v>27</v>
      </c>
      <c r="J4" s="8">
        <v>142.16666666666666</v>
      </c>
      <c r="K4" s="8">
        <v>123.85714285714286</v>
      </c>
      <c r="M4" s="8" t="s">
        <v>27</v>
      </c>
      <c r="N4" s="8">
        <v>142.16666666666666</v>
      </c>
      <c r="O4" s="8">
        <v>123.85714285714286</v>
      </c>
    </row>
    <row r="5" spans="1:15" x14ac:dyDescent="0.25">
      <c r="A5" t="s">
        <v>7</v>
      </c>
      <c r="F5">
        <v>140</v>
      </c>
      <c r="G5">
        <v>103</v>
      </c>
      <c r="I5" s="8" t="s">
        <v>28</v>
      </c>
      <c r="J5" s="8">
        <v>407.36666666666571</v>
      </c>
      <c r="K5" s="8">
        <v>270.47619047619082</v>
      </c>
      <c r="M5" s="8" t="s">
        <v>28</v>
      </c>
      <c r="N5" s="8">
        <v>407.36666666666571</v>
      </c>
      <c r="O5" s="8">
        <v>270.47619047619082</v>
      </c>
    </row>
    <row r="6" spans="1:15" x14ac:dyDescent="0.25">
      <c r="A6" t="s">
        <v>14</v>
      </c>
      <c r="B6" s="1">
        <f>N11</f>
        <v>4.9304366522512577E-2</v>
      </c>
      <c r="F6">
        <v>121</v>
      </c>
      <c r="G6">
        <v>146</v>
      </c>
      <c r="I6" s="8" t="s">
        <v>29</v>
      </c>
      <c r="J6" s="8">
        <v>6</v>
      </c>
      <c r="K6" s="8">
        <v>7</v>
      </c>
      <c r="M6" s="8" t="s">
        <v>29</v>
      </c>
      <c r="N6" s="8">
        <v>6</v>
      </c>
      <c r="O6" s="8">
        <v>7</v>
      </c>
    </row>
    <row r="7" spans="1:15" x14ac:dyDescent="0.25">
      <c r="F7">
        <v>120</v>
      </c>
      <c r="G7">
        <v>117</v>
      </c>
      <c r="I7" s="8" t="s">
        <v>30</v>
      </c>
      <c r="J7" s="8">
        <v>5</v>
      </c>
      <c r="K7" s="8">
        <v>6</v>
      </c>
      <c r="M7" s="8" t="s">
        <v>35</v>
      </c>
      <c r="N7" s="8">
        <v>332.69913419913394</v>
      </c>
      <c r="O7" s="8"/>
    </row>
    <row r="8" spans="1:15" x14ac:dyDescent="0.25">
      <c r="F8">
        <v>160</v>
      </c>
      <c r="G8">
        <v>141</v>
      </c>
      <c r="I8" s="8" t="s">
        <v>31</v>
      </c>
      <c r="J8" s="8">
        <v>1.506109154929572</v>
      </c>
      <c r="K8" s="8"/>
      <c r="M8" s="8" t="s">
        <v>36</v>
      </c>
      <c r="N8" s="8">
        <v>0</v>
      </c>
      <c r="O8" s="8"/>
    </row>
    <row r="9" spans="1:15" x14ac:dyDescent="0.25">
      <c r="G9">
        <v>106</v>
      </c>
      <c r="I9" s="8" t="s">
        <v>32</v>
      </c>
      <c r="J9" s="8">
        <v>0.31392149101588285</v>
      </c>
      <c r="K9" s="8"/>
      <c r="M9" s="8" t="s">
        <v>30</v>
      </c>
      <c r="N9" s="8">
        <v>11</v>
      </c>
      <c r="O9" s="8"/>
    </row>
    <row r="10" spans="1:15" ht="15.75" thickBot="1" x14ac:dyDescent="0.3">
      <c r="I10" s="9" t="s">
        <v>33</v>
      </c>
      <c r="J10" s="9">
        <v>8.7458952560199172</v>
      </c>
      <c r="K10" s="9"/>
      <c r="M10" s="8" t="s">
        <v>37</v>
      </c>
      <c r="N10" s="8">
        <v>1.8042810303464321</v>
      </c>
      <c r="O10" s="8"/>
    </row>
    <row r="11" spans="1:15" x14ac:dyDescent="0.25">
      <c r="M11" s="8" t="s">
        <v>38</v>
      </c>
      <c r="N11" s="8">
        <v>4.9304366522512577E-2</v>
      </c>
      <c r="O11" s="8"/>
    </row>
    <row r="12" spans="1:15" x14ac:dyDescent="0.25">
      <c r="M12" s="8" t="s">
        <v>39</v>
      </c>
      <c r="N12" s="8">
        <v>2.7180791838138614</v>
      </c>
      <c r="O12" s="8"/>
    </row>
    <row r="13" spans="1:15" x14ac:dyDescent="0.25">
      <c r="M13" s="8" t="s">
        <v>40</v>
      </c>
      <c r="N13" s="8">
        <v>9.8608733045025154E-2</v>
      </c>
      <c r="O13" s="8"/>
    </row>
    <row r="14" spans="1:15" ht="15.75" thickBot="1" x14ac:dyDescent="0.3">
      <c r="M14" s="9" t="s">
        <v>41</v>
      </c>
      <c r="N14" s="9">
        <v>3.1058065155392809</v>
      </c>
      <c r="O14" s="9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B6"/>
    </sheetView>
  </sheetViews>
  <sheetFormatPr defaultRowHeight="15" x14ac:dyDescent="0.25"/>
  <sheetData>
    <row r="1" spans="1:5" x14ac:dyDescent="0.25">
      <c r="A1" t="s">
        <v>54</v>
      </c>
    </row>
    <row r="2" spans="1:5" x14ac:dyDescent="0.25">
      <c r="A2" t="s">
        <v>1</v>
      </c>
      <c r="B2" s="6">
        <f>NORMSINV(0.01/2)</f>
        <v>-2.5758293035488999</v>
      </c>
    </row>
    <row r="3" spans="1:5" x14ac:dyDescent="0.25">
      <c r="A3" t="s">
        <v>3</v>
      </c>
      <c r="B3" s="6">
        <f>(21+37)/(400+400)</f>
        <v>7.2499999999999995E-2</v>
      </c>
    </row>
    <row r="4" spans="1:5" x14ac:dyDescent="0.25">
      <c r="A4" t="s">
        <v>6</v>
      </c>
      <c r="B4" s="6">
        <f>(21/400-37/400)/SQRT(B3*(1-B3)/400+B3*(1-B3)/400)</f>
        <v>-2.181468904325071</v>
      </c>
    </row>
    <row r="5" spans="1:5" x14ac:dyDescent="0.25">
      <c r="A5" t="s">
        <v>7</v>
      </c>
    </row>
    <row r="6" spans="1:5" x14ac:dyDescent="0.25">
      <c r="A6" t="s">
        <v>14</v>
      </c>
      <c r="B6" s="1">
        <f>2*NORMSDIST(B4)</f>
        <v>2.9148752001154493E-2</v>
      </c>
      <c r="D6" s="1">
        <f>NORMSDIST(-2.18)</f>
        <v>1.4628730775989252E-2</v>
      </c>
      <c r="E6">
        <f>2*0.0146</f>
        <v>2.92E-2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9"/>
  <sheetViews>
    <sheetView workbookViewId="0">
      <selection activeCell="O6" sqref="O6"/>
    </sheetView>
  </sheetViews>
  <sheetFormatPr defaultRowHeight="15" x14ac:dyDescent="0.25"/>
  <sheetData>
    <row r="9" spans="13:13" x14ac:dyDescent="0.25">
      <c r="M9" t="s">
        <v>56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19" sqref="G19"/>
    </sheetView>
  </sheetViews>
  <sheetFormatPr defaultRowHeight="15" x14ac:dyDescent="0.25"/>
  <cols>
    <col min="5" max="5" width="28.5703125" customWidth="1"/>
  </cols>
  <sheetData>
    <row r="1" spans="1:7" x14ac:dyDescent="0.25">
      <c r="A1" t="s">
        <v>57</v>
      </c>
      <c r="B1" t="s">
        <v>2</v>
      </c>
      <c r="E1" t="s">
        <v>58</v>
      </c>
    </row>
    <row r="2" spans="1:7" ht="15.75" thickBot="1" x14ac:dyDescent="0.3">
      <c r="B2" t="s">
        <v>45</v>
      </c>
      <c r="C2" t="s">
        <v>46</v>
      </c>
    </row>
    <row r="3" spans="1:7" x14ac:dyDescent="0.25">
      <c r="B3">
        <v>10</v>
      </c>
      <c r="C3">
        <v>11</v>
      </c>
      <c r="E3" s="10"/>
      <c r="F3" s="10" t="s">
        <v>45</v>
      </c>
      <c r="G3" s="10" t="s">
        <v>46</v>
      </c>
    </row>
    <row r="4" spans="1:7" x14ac:dyDescent="0.25">
      <c r="B4">
        <v>5</v>
      </c>
      <c r="C4">
        <v>13</v>
      </c>
      <c r="E4" s="8" t="s">
        <v>27</v>
      </c>
      <c r="F4" s="8">
        <v>8.5</v>
      </c>
      <c r="G4" s="8">
        <v>13.125</v>
      </c>
    </row>
    <row r="5" spans="1:7" x14ac:dyDescent="0.25">
      <c r="B5">
        <v>4</v>
      </c>
      <c r="C5">
        <v>10</v>
      </c>
      <c r="E5" s="8" t="s">
        <v>28</v>
      </c>
      <c r="F5" s="8">
        <v>26</v>
      </c>
      <c r="G5" s="8">
        <v>9.2678571428571423</v>
      </c>
    </row>
    <row r="6" spans="1:7" x14ac:dyDescent="0.25">
      <c r="B6">
        <v>4</v>
      </c>
      <c r="C6">
        <v>9</v>
      </c>
      <c r="E6" s="8" t="s">
        <v>29</v>
      </c>
      <c r="F6" s="8">
        <v>8</v>
      </c>
      <c r="G6" s="8">
        <v>8</v>
      </c>
    </row>
    <row r="7" spans="1:7" x14ac:dyDescent="0.25">
      <c r="B7">
        <v>5</v>
      </c>
      <c r="C7">
        <v>13</v>
      </c>
      <c r="E7" s="8" t="s">
        <v>59</v>
      </c>
      <c r="F7" s="8">
        <v>0.63960290143151888</v>
      </c>
      <c r="G7" s="8"/>
    </row>
    <row r="8" spans="1:7" x14ac:dyDescent="0.25">
      <c r="B8">
        <v>15</v>
      </c>
      <c r="C8">
        <v>17</v>
      </c>
      <c r="E8" s="8" t="s">
        <v>36</v>
      </c>
      <c r="F8" s="8">
        <v>0</v>
      </c>
      <c r="G8" s="8"/>
    </row>
    <row r="9" spans="1:7" x14ac:dyDescent="0.25">
      <c r="B9">
        <v>8</v>
      </c>
      <c r="C9">
        <v>17</v>
      </c>
      <c r="E9" s="8" t="s">
        <v>30</v>
      </c>
      <c r="F9" s="8">
        <v>7</v>
      </c>
      <c r="G9" s="8"/>
    </row>
    <row r="10" spans="1:7" x14ac:dyDescent="0.25">
      <c r="B10">
        <v>17</v>
      </c>
      <c r="C10">
        <v>15</v>
      </c>
      <c r="E10" s="8" t="s">
        <v>37</v>
      </c>
      <c r="F10" s="13">
        <v>-3.3323096149128744</v>
      </c>
      <c r="G10" s="8"/>
    </row>
    <row r="11" spans="1:7" x14ac:dyDescent="0.25">
      <c r="E11" s="8" t="s">
        <v>38</v>
      </c>
      <c r="F11" s="12">
        <v>6.2756303757501427E-3</v>
      </c>
      <c r="G11" s="8"/>
    </row>
    <row r="12" spans="1:7" x14ac:dyDescent="0.25">
      <c r="E12" s="8" t="s">
        <v>39</v>
      </c>
      <c r="F12" s="13">
        <v>1.8945786050900073</v>
      </c>
      <c r="G12" s="8"/>
    </row>
    <row r="13" spans="1:7" x14ac:dyDescent="0.25">
      <c r="E13" s="8" t="s">
        <v>40</v>
      </c>
      <c r="F13" s="8">
        <v>1.2551260751500285E-2</v>
      </c>
      <c r="G13" s="8"/>
    </row>
    <row r="14" spans="1:7" ht="15.75" thickBot="1" x14ac:dyDescent="0.3">
      <c r="E14" s="9" t="s">
        <v>41</v>
      </c>
      <c r="F14" s="9">
        <v>2.3646242515927849</v>
      </c>
      <c r="G14" s="9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9" sqref="D19"/>
    </sheetView>
  </sheetViews>
  <sheetFormatPr defaultRowHeight="15" x14ac:dyDescent="0.25"/>
  <sheetData>
    <row r="1" spans="1:3" x14ac:dyDescent="0.25">
      <c r="A1" t="s">
        <v>60</v>
      </c>
    </row>
    <row r="2" spans="1:3" x14ac:dyDescent="0.25">
      <c r="A2" t="s">
        <v>6</v>
      </c>
      <c r="B2" s="6">
        <f>(100-97)/SQRT(5*5/36+7*7/46)</f>
        <v>2.2615523607252586</v>
      </c>
    </row>
    <row r="3" spans="1:3" x14ac:dyDescent="0.25">
      <c r="A3" t="s">
        <v>7</v>
      </c>
      <c r="B3" s="1">
        <f>1-NORMSDIST(2.26)</f>
        <v>1.1910625418547038E-2</v>
      </c>
      <c r="C3" s="11">
        <f>2*0.0119</f>
        <v>2.3800000000000002E-2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D12" sqref="D12"/>
    </sheetView>
  </sheetViews>
  <sheetFormatPr defaultRowHeight="15" x14ac:dyDescent="0.25"/>
  <sheetData>
    <row r="1" spans="1:3" x14ac:dyDescent="0.25">
      <c r="A1" t="s">
        <v>61</v>
      </c>
    </row>
    <row r="2" spans="1:3" x14ac:dyDescent="0.25">
      <c r="A2" t="s">
        <v>14</v>
      </c>
      <c r="B2" s="1">
        <f>1-NORMSDIST(0.48)</f>
        <v>0.31561369651622262</v>
      </c>
      <c r="C2" s="1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RowHeight="15" x14ac:dyDescent="0.25"/>
  <sheetData>
    <row r="1" spans="1:4" x14ac:dyDescent="0.25">
      <c r="A1" t="s">
        <v>62</v>
      </c>
      <c r="D1" s="1"/>
    </row>
    <row r="2" spans="1:4" x14ac:dyDescent="0.25">
      <c r="A2" t="s">
        <v>3</v>
      </c>
      <c r="B2">
        <f>+(2560+2430)/(3750+3750)</f>
        <v>0.66533333333333333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J23" sqref="J23"/>
    </sheetView>
  </sheetViews>
  <sheetFormatPr defaultRowHeight="15" x14ac:dyDescent="0.25"/>
  <sheetData>
    <row r="1" spans="1:2" x14ac:dyDescent="0.25">
      <c r="A1" t="s">
        <v>63</v>
      </c>
    </row>
    <row r="2" spans="1:2" x14ac:dyDescent="0.25">
      <c r="A2" t="s">
        <v>64</v>
      </c>
      <c r="B2">
        <f>(15*9+15*9)/(30)</f>
        <v>9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t="s">
        <v>65</v>
      </c>
    </row>
    <row r="2" spans="1:2" x14ac:dyDescent="0.25">
      <c r="A2" t="s">
        <v>3</v>
      </c>
      <c r="B2">
        <f>(25+12)/(404+317)</f>
        <v>5.1317614424410539E-2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:B2"/>
    </sheetView>
  </sheetViews>
  <sheetFormatPr defaultRowHeight="15" x14ac:dyDescent="0.25"/>
  <sheetData>
    <row r="1" spans="1:2" x14ac:dyDescent="0.25">
      <c r="A1" t="s">
        <v>66</v>
      </c>
    </row>
    <row r="2" spans="1:2" x14ac:dyDescent="0.25">
      <c r="A2" t="s">
        <v>67</v>
      </c>
      <c r="B2" s="2">
        <f>-0.49*SQRT(45-2)/SQRT(1-(-0.49)^2)</f>
        <v>-3.6859724560067346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6" sqref="C6"/>
    </sheetView>
  </sheetViews>
  <sheetFormatPr defaultRowHeight="15" x14ac:dyDescent="0.25"/>
  <sheetData>
    <row r="1" spans="1:2" x14ac:dyDescent="0.25">
      <c r="A1" t="s">
        <v>68</v>
      </c>
    </row>
    <row r="2" spans="1:2" x14ac:dyDescent="0.25">
      <c r="A2" t="s">
        <v>67</v>
      </c>
      <c r="B2" s="2">
        <f>0.74*SQRT(8)/SQRT(1-(0.74)^2)</f>
        <v>3.1118267881307324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2" sqref="E2"/>
    </sheetView>
  </sheetViews>
  <sheetFormatPr defaultRowHeight="15" x14ac:dyDescent="0.25"/>
  <sheetData>
    <row r="1" spans="1:5" x14ac:dyDescent="0.25">
      <c r="A1" t="s">
        <v>69</v>
      </c>
      <c r="B1" t="s">
        <v>70</v>
      </c>
    </row>
    <row r="2" spans="1:5" x14ac:dyDescent="0.25">
      <c r="A2">
        <v>5</v>
      </c>
      <c r="B2">
        <v>1</v>
      </c>
      <c r="D2" t="s">
        <v>71</v>
      </c>
      <c r="E2">
        <f>CORREL(A2:A6,B2:B6)</f>
        <v>-0.76376261582597327</v>
      </c>
    </row>
    <row r="3" spans="1:5" x14ac:dyDescent="0.25">
      <c r="A3">
        <v>1</v>
      </c>
      <c r="B3">
        <v>2</v>
      </c>
      <c r="D3" t="s">
        <v>72</v>
      </c>
      <c r="E3" s="14">
        <f>E2^2</f>
        <v>0.58333333333333326</v>
      </c>
    </row>
    <row r="4" spans="1:5" x14ac:dyDescent="0.25">
      <c r="A4">
        <v>4</v>
      </c>
      <c r="B4">
        <v>2</v>
      </c>
    </row>
    <row r="5" spans="1:5" x14ac:dyDescent="0.25">
      <c r="A5">
        <v>4</v>
      </c>
      <c r="B5">
        <v>1</v>
      </c>
    </row>
    <row r="6" spans="1:5" x14ac:dyDescent="0.25">
      <c r="A6">
        <v>1</v>
      </c>
      <c r="B6">
        <v>4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F24" sqref="F24"/>
    </sheetView>
  </sheetViews>
  <sheetFormatPr defaultRowHeight="15" x14ac:dyDescent="0.25"/>
  <sheetData>
    <row r="1" spans="1:11" x14ac:dyDescent="0.25">
      <c r="A1" t="s">
        <v>73</v>
      </c>
    </row>
    <row r="2" spans="1:11" x14ac:dyDescent="0.25">
      <c r="A2" t="s">
        <v>2</v>
      </c>
    </row>
    <row r="3" spans="1:11" x14ac:dyDescent="0.25">
      <c r="A3" t="s">
        <v>74</v>
      </c>
      <c r="B3" t="s">
        <v>75</v>
      </c>
      <c r="C3" t="s">
        <v>76</v>
      </c>
      <c r="D3" t="s">
        <v>77</v>
      </c>
    </row>
    <row r="4" spans="1:11" x14ac:dyDescent="0.25">
      <c r="A4">
        <v>39</v>
      </c>
      <c r="B4">
        <v>56</v>
      </c>
      <c r="C4">
        <f>B4^2</f>
        <v>3136</v>
      </c>
      <c r="D4">
        <f>A4*B4</f>
        <v>2184</v>
      </c>
    </row>
    <row r="5" spans="1:11" x14ac:dyDescent="0.25">
      <c r="A5">
        <v>15</v>
      </c>
      <c r="B5">
        <v>20</v>
      </c>
      <c r="C5">
        <f t="shared" ref="C5:C13" si="0">B5^2</f>
        <v>400</v>
      </c>
      <c r="D5">
        <f t="shared" ref="D5:D13" si="1">A5*B5</f>
        <v>300</v>
      </c>
    </row>
    <row r="6" spans="1:11" x14ac:dyDescent="0.25">
      <c r="A6">
        <v>47</v>
      </c>
      <c r="B6">
        <v>119</v>
      </c>
      <c r="C6">
        <f t="shared" si="0"/>
        <v>14161</v>
      </c>
      <c r="D6">
        <f t="shared" si="1"/>
        <v>5593</v>
      </c>
    </row>
    <row r="7" spans="1:11" x14ac:dyDescent="0.25">
      <c r="A7">
        <v>35</v>
      </c>
      <c r="B7">
        <v>52</v>
      </c>
      <c r="C7">
        <f t="shared" si="0"/>
        <v>2704</v>
      </c>
      <c r="D7">
        <f t="shared" si="1"/>
        <v>1820</v>
      </c>
    </row>
    <row r="8" spans="1:11" x14ac:dyDescent="0.25">
      <c r="A8">
        <v>16</v>
      </c>
      <c r="B8">
        <v>23</v>
      </c>
      <c r="C8">
        <f t="shared" si="0"/>
        <v>529</v>
      </c>
      <c r="D8">
        <f t="shared" si="1"/>
        <v>368</v>
      </c>
    </row>
    <row r="9" spans="1:11" x14ac:dyDescent="0.25">
      <c r="A9">
        <v>21</v>
      </c>
      <c r="B9">
        <v>26</v>
      </c>
      <c r="C9">
        <f t="shared" si="0"/>
        <v>676</v>
      </c>
      <c r="D9">
        <f t="shared" si="1"/>
        <v>546</v>
      </c>
    </row>
    <row r="10" spans="1:11" x14ac:dyDescent="0.25">
      <c r="A10">
        <v>47</v>
      </c>
      <c r="B10">
        <v>76</v>
      </c>
      <c r="C10">
        <f t="shared" si="0"/>
        <v>5776</v>
      </c>
      <c r="D10">
        <f t="shared" si="1"/>
        <v>3572</v>
      </c>
    </row>
    <row r="11" spans="1:11" x14ac:dyDescent="0.25">
      <c r="A11">
        <v>28</v>
      </c>
      <c r="B11">
        <v>48</v>
      </c>
      <c r="C11">
        <f t="shared" si="0"/>
        <v>2304</v>
      </c>
      <c r="D11">
        <f t="shared" si="1"/>
        <v>1344</v>
      </c>
    </row>
    <row r="12" spans="1:11" x14ac:dyDescent="0.25">
      <c r="A12">
        <v>33</v>
      </c>
      <c r="B12">
        <v>45</v>
      </c>
      <c r="C12">
        <f t="shared" si="0"/>
        <v>2025</v>
      </c>
      <c r="D12">
        <f t="shared" si="1"/>
        <v>1485</v>
      </c>
      <c r="I12" t="s">
        <v>79</v>
      </c>
      <c r="K12" s="11">
        <f>SQRT((C15-J30*B15-J31*D15)/(10-2))</f>
        <v>13.991846704189822</v>
      </c>
    </row>
    <row r="13" spans="1:11" x14ac:dyDescent="0.25">
      <c r="A13">
        <v>39</v>
      </c>
      <c r="B13">
        <v>70</v>
      </c>
      <c r="C13">
        <f t="shared" si="0"/>
        <v>4900</v>
      </c>
      <c r="D13">
        <f t="shared" si="1"/>
        <v>2730</v>
      </c>
    </row>
    <row r="14" spans="1:11" x14ac:dyDescent="0.25">
      <c r="I14" t="s">
        <v>80</v>
      </c>
    </row>
    <row r="15" spans="1:11" ht="15.75" thickBot="1" x14ac:dyDescent="0.3">
      <c r="A15" s="15">
        <f>SUM(A4:A14)</f>
        <v>320</v>
      </c>
      <c r="B15" s="15">
        <f>SUM(B4:B14)</f>
        <v>535</v>
      </c>
      <c r="C15" s="15">
        <f>SUM(C4:C14)</f>
        <v>36611</v>
      </c>
      <c r="D15" s="15">
        <f>SUM(D4:D14)</f>
        <v>19942</v>
      </c>
      <c r="E15" t="s">
        <v>78</v>
      </c>
    </row>
    <row r="16" spans="1:11" x14ac:dyDescent="0.25">
      <c r="I16" s="16" t="s">
        <v>81</v>
      </c>
      <c r="J16" s="16"/>
    </row>
    <row r="17" spans="9:17" x14ac:dyDescent="0.25">
      <c r="I17" s="8" t="s">
        <v>82</v>
      </c>
      <c r="J17" s="8">
        <v>0.89663058098341786</v>
      </c>
    </row>
    <row r="18" spans="9:17" x14ac:dyDescent="0.25">
      <c r="I18" s="8" t="s">
        <v>83</v>
      </c>
      <c r="J18" s="8">
        <v>0.80394639875466145</v>
      </c>
    </row>
    <row r="19" spans="9:17" x14ac:dyDescent="0.25">
      <c r="I19" s="8" t="s">
        <v>84</v>
      </c>
      <c r="J19" s="8">
        <v>0.77943969859899409</v>
      </c>
    </row>
    <row r="20" spans="9:17" x14ac:dyDescent="0.25">
      <c r="I20" s="8" t="s">
        <v>85</v>
      </c>
      <c r="J20" s="8">
        <v>13.99184670418985</v>
      </c>
    </row>
    <row r="21" spans="9:17" ht="15.75" thickBot="1" x14ac:dyDescent="0.3">
      <c r="I21" s="9" t="s">
        <v>29</v>
      </c>
      <c r="J21" s="9">
        <v>10</v>
      </c>
    </row>
    <row r="23" spans="9:17" ht="15.75" thickBot="1" x14ac:dyDescent="0.3">
      <c r="I23" t="s">
        <v>86</v>
      </c>
    </row>
    <row r="24" spans="9:17" x14ac:dyDescent="0.25">
      <c r="I24" s="10"/>
      <c r="J24" s="10" t="s">
        <v>30</v>
      </c>
      <c r="K24" s="10" t="s">
        <v>91</v>
      </c>
      <c r="L24" s="10" t="s">
        <v>92</v>
      </c>
      <c r="M24" s="10" t="s">
        <v>31</v>
      </c>
      <c r="N24" s="10" t="s">
        <v>93</v>
      </c>
    </row>
    <row r="25" spans="9:17" x14ac:dyDescent="0.25">
      <c r="I25" s="8" t="s">
        <v>87</v>
      </c>
      <c r="J25" s="8">
        <v>1</v>
      </c>
      <c r="K25" s="8">
        <v>6422.3258064516131</v>
      </c>
      <c r="L25" s="8">
        <v>6422.3258064516131</v>
      </c>
      <c r="M25" s="8">
        <v>32.80516730722492</v>
      </c>
      <c r="N25" s="8">
        <v>4.4018061351219827E-4</v>
      </c>
    </row>
    <row r="26" spans="9:17" x14ac:dyDescent="0.25">
      <c r="I26" s="8" t="s">
        <v>88</v>
      </c>
      <c r="J26" s="8">
        <v>8</v>
      </c>
      <c r="K26" s="8">
        <v>1566.1741935483872</v>
      </c>
      <c r="L26" s="8">
        <v>195.7717741935484</v>
      </c>
      <c r="M26" s="8"/>
      <c r="N26" s="8"/>
    </row>
    <row r="27" spans="9:17" ht="15.75" thickBot="1" x14ac:dyDescent="0.3">
      <c r="I27" s="9" t="s">
        <v>89</v>
      </c>
      <c r="J27" s="9">
        <v>9</v>
      </c>
      <c r="K27" s="9">
        <v>7988.5</v>
      </c>
      <c r="L27" s="9"/>
      <c r="M27" s="9"/>
      <c r="N27" s="9"/>
    </row>
    <row r="28" spans="9:17" ht="15.75" thickBot="1" x14ac:dyDescent="0.3"/>
    <row r="29" spans="9:17" x14ac:dyDescent="0.25">
      <c r="I29" s="10"/>
      <c r="J29" s="10" t="s">
        <v>94</v>
      </c>
      <c r="K29" s="10" t="s">
        <v>85</v>
      </c>
      <c r="L29" s="10" t="s">
        <v>37</v>
      </c>
      <c r="M29" s="10" t="s">
        <v>95</v>
      </c>
      <c r="N29" s="10" t="s">
        <v>96</v>
      </c>
      <c r="O29" s="10" t="s">
        <v>97</v>
      </c>
      <c r="P29" s="10" t="s">
        <v>98</v>
      </c>
      <c r="Q29" s="10" t="s">
        <v>99</v>
      </c>
    </row>
    <row r="30" spans="9:17" x14ac:dyDescent="0.25">
      <c r="I30" s="8" t="s">
        <v>90</v>
      </c>
      <c r="J30" s="8">
        <v>-19.32580645161292</v>
      </c>
      <c r="K30" s="8">
        <v>13.462792117242676</v>
      </c>
      <c r="L30" s="8">
        <v>-1.4354976503619259</v>
      </c>
      <c r="M30" s="8">
        <v>0.18906608550262052</v>
      </c>
      <c r="N30" s="8">
        <v>-50.371060745368595</v>
      </c>
      <c r="O30" s="8">
        <v>11.719447842142756</v>
      </c>
      <c r="P30" s="8">
        <v>-50.371060745368595</v>
      </c>
      <c r="Q30" s="8">
        <v>11.719447842142756</v>
      </c>
    </row>
    <row r="31" spans="9:17" ht="15.75" thickBot="1" x14ac:dyDescent="0.3">
      <c r="I31" s="9" t="s">
        <v>74</v>
      </c>
      <c r="J31" s="9">
        <v>2.2758064516129037</v>
      </c>
      <c r="K31" s="9">
        <v>0.39734174593077076</v>
      </c>
      <c r="L31" s="9">
        <v>5.7275795330335608</v>
      </c>
      <c r="M31" s="9">
        <v>4.401806135121974E-4</v>
      </c>
      <c r="N31" s="9">
        <v>1.3595347424073028</v>
      </c>
      <c r="O31" s="9">
        <v>3.1920781608185047</v>
      </c>
      <c r="P31" s="9">
        <v>1.3595347424073028</v>
      </c>
      <c r="Q31" s="9">
        <v>3.1920781608185047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10" sqref="E10"/>
    </sheetView>
  </sheetViews>
  <sheetFormatPr defaultRowHeight="15" x14ac:dyDescent="0.25"/>
  <sheetData>
    <row r="1" spans="1:3" x14ac:dyDescent="0.25">
      <c r="A1">
        <v>70</v>
      </c>
      <c r="C1">
        <f>+SQRT(14.1667)</f>
        <v>3.7638676916172278</v>
      </c>
    </row>
    <row r="2" spans="1:3" x14ac:dyDescent="0.25">
      <c r="A2" s="1">
        <v>14.166666666666666</v>
      </c>
      <c r="C2">
        <f>70/410</f>
        <v>0.17073170731707318</v>
      </c>
    </row>
    <row r="4" spans="1:3" x14ac:dyDescent="0.25">
      <c r="A4">
        <f>+A1/A2</f>
        <v>4.9411764705882355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2" sqref="D12"/>
    </sheetView>
  </sheetViews>
  <sheetFormatPr defaultRowHeight="15" x14ac:dyDescent="0.25"/>
  <sheetData>
    <row r="1" spans="1:7" x14ac:dyDescent="0.25">
      <c r="A1" t="s">
        <v>100</v>
      </c>
      <c r="F1" t="s">
        <v>2</v>
      </c>
    </row>
    <row r="2" spans="1:7" x14ac:dyDescent="0.25">
      <c r="A2" t="s">
        <v>1</v>
      </c>
      <c r="B2" s="1">
        <f>CORREL(F3:F7,G3:G7)</f>
        <v>0.66414725551936682</v>
      </c>
      <c r="F2" t="s">
        <v>74</v>
      </c>
      <c r="G2" t="s">
        <v>75</v>
      </c>
    </row>
    <row r="3" spans="1:7" x14ac:dyDescent="0.25">
      <c r="A3" t="s">
        <v>3</v>
      </c>
      <c r="B3" s="2">
        <f>+B2^2</f>
        <v>0.44109157701390711</v>
      </c>
      <c r="F3">
        <v>3</v>
      </c>
      <c r="G3">
        <v>8</v>
      </c>
    </row>
    <row r="4" spans="1:7" x14ac:dyDescent="0.25">
      <c r="F4">
        <v>4</v>
      </c>
      <c r="G4">
        <v>9</v>
      </c>
    </row>
    <row r="5" spans="1:7" x14ac:dyDescent="0.25">
      <c r="F5">
        <v>7</v>
      </c>
      <c r="G5">
        <v>16</v>
      </c>
    </row>
    <row r="6" spans="1:7" x14ac:dyDescent="0.25">
      <c r="F6">
        <v>2</v>
      </c>
      <c r="G6">
        <v>11</v>
      </c>
    </row>
    <row r="7" spans="1:7" x14ac:dyDescent="0.25">
      <c r="F7">
        <v>5</v>
      </c>
      <c r="G7">
        <v>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2" sqref="B2"/>
    </sheetView>
  </sheetViews>
  <sheetFormatPr defaultRowHeight="15" x14ac:dyDescent="0.25"/>
  <cols>
    <col min="2" max="2" width="17.85546875" bestFit="1" customWidth="1"/>
  </cols>
  <sheetData>
    <row r="1" spans="1:8" x14ac:dyDescent="0.25">
      <c r="A1" t="s">
        <v>101</v>
      </c>
      <c r="G1" t="s">
        <v>2</v>
      </c>
    </row>
    <row r="2" spans="1:8" x14ac:dyDescent="0.25">
      <c r="A2" t="s">
        <v>1</v>
      </c>
      <c r="B2" s="2">
        <f>CORREL(G3:G14,H3:H14)</f>
        <v>-0.47321754189377019</v>
      </c>
      <c r="F2" t="s">
        <v>104</v>
      </c>
      <c r="G2" t="s">
        <v>102</v>
      </c>
      <c r="H2" t="s">
        <v>103</v>
      </c>
    </row>
    <row r="3" spans="1:8" x14ac:dyDescent="0.25">
      <c r="A3" t="s">
        <v>3</v>
      </c>
      <c r="B3" s="2">
        <f>B2^2</f>
        <v>0.22393484195598215</v>
      </c>
      <c r="F3">
        <v>1</v>
      </c>
      <c r="G3">
        <v>11</v>
      </c>
      <c r="H3">
        <v>3.8</v>
      </c>
    </row>
    <row r="4" spans="1:8" x14ac:dyDescent="0.25">
      <c r="F4">
        <v>2</v>
      </c>
      <c r="G4">
        <v>10</v>
      </c>
      <c r="H4">
        <v>3.5</v>
      </c>
    </row>
    <row r="5" spans="1:8" x14ac:dyDescent="0.25">
      <c r="F5">
        <v>3</v>
      </c>
      <c r="G5">
        <v>7</v>
      </c>
      <c r="H5">
        <v>4.8</v>
      </c>
    </row>
    <row r="6" spans="1:8" x14ac:dyDescent="0.25">
      <c r="F6">
        <v>4</v>
      </c>
      <c r="G6">
        <v>14</v>
      </c>
      <c r="H6">
        <v>3.1</v>
      </c>
    </row>
    <row r="7" spans="1:8" x14ac:dyDescent="0.25">
      <c r="F7">
        <v>5</v>
      </c>
      <c r="G7">
        <v>1</v>
      </c>
      <c r="H7">
        <v>8.1999999999999993</v>
      </c>
    </row>
    <row r="8" spans="1:8" x14ac:dyDescent="0.25">
      <c r="F8">
        <v>6</v>
      </c>
      <c r="G8">
        <v>12</v>
      </c>
      <c r="H8">
        <v>3</v>
      </c>
    </row>
    <row r="9" spans="1:8" x14ac:dyDescent="0.25">
      <c r="F9">
        <v>7</v>
      </c>
      <c r="G9">
        <v>7</v>
      </c>
      <c r="H9">
        <v>4.5</v>
      </c>
    </row>
    <row r="10" spans="1:8" x14ac:dyDescent="0.25">
      <c r="F10">
        <v>8</v>
      </c>
      <c r="G10">
        <v>8</v>
      </c>
      <c r="H10">
        <v>3.7</v>
      </c>
    </row>
    <row r="11" spans="1:8" x14ac:dyDescent="0.25">
      <c r="F11">
        <v>9</v>
      </c>
      <c r="G11">
        <v>15</v>
      </c>
      <c r="H11">
        <v>5.3</v>
      </c>
    </row>
    <row r="12" spans="1:8" x14ac:dyDescent="0.25">
      <c r="F12">
        <v>10</v>
      </c>
      <c r="G12">
        <v>14</v>
      </c>
      <c r="H12">
        <v>6.4</v>
      </c>
    </row>
    <row r="13" spans="1:8" x14ac:dyDescent="0.25">
      <c r="F13">
        <v>11</v>
      </c>
      <c r="G13">
        <v>14</v>
      </c>
      <c r="H13">
        <v>5.4</v>
      </c>
    </row>
    <row r="14" spans="1:8" x14ac:dyDescent="0.25">
      <c r="F14">
        <v>12</v>
      </c>
      <c r="G14">
        <v>5</v>
      </c>
      <c r="H14">
        <v>6.4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E40" sqref="E40"/>
    </sheetView>
  </sheetViews>
  <sheetFormatPr defaultRowHeight="15" x14ac:dyDescent="0.25"/>
  <cols>
    <col min="6" max="6" width="14.85546875" customWidth="1"/>
  </cols>
  <sheetData>
    <row r="1" spans="1:7" x14ac:dyDescent="0.25">
      <c r="A1" t="s">
        <v>105</v>
      </c>
      <c r="F1" t="s">
        <v>2</v>
      </c>
    </row>
    <row r="2" spans="1:7" x14ac:dyDescent="0.25">
      <c r="A2" t="s">
        <v>3</v>
      </c>
      <c r="B2" s="1">
        <f>CORREL(F3:F7,G3:G7)</f>
        <v>0.39991678648032497</v>
      </c>
      <c r="F2" t="s">
        <v>74</v>
      </c>
      <c r="G2" t="s">
        <v>75</v>
      </c>
    </row>
    <row r="3" spans="1:7" x14ac:dyDescent="0.25">
      <c r="F3">
        <v>0</v>
      </c>
      <c r="G3">
        <v>285</v>
      </c>
    </row>
    <row r="4" spans="1:7" x14ac:dyDescent="0.25">
      <c r="F4">
        <v>6</v>
      </c>
      <c r="G4">
        <v>122</v>
      </c>
    </row>
    <row r="5" spans="1:7" x14ac:dyDescent="0.25">
      <c r="F5">
        <v>-6</v>
      </c>
      <c r="G5">
        <v>156</v>
      </c>
    </row>
    <row r="6" spans="1:7" x14ac:dyDescent="0.25">
      <c r="F6">
        <v>-9</v>
      </c>
      <c r="G6">
        <v>19</v>
      </c>
    </row>
    <row r="7" spans="1:7" x14ac:dyDescent="0.25">
      <c r="F7">
        <v>0</v>
      </c>
      <c r="G7">
        <v>123</v>
      </c>
    </row>
    <row r="18" spans="6:11" x14ac:dyDescent="0.25">
      <c r="F18" t="s">
        <v>80</v>
      </c>
    </row>
    <row r="19" spans="6:11" ht="15.75" thickBot="1" x14ac:dyDescent="0.3"/>
    <row r="20" spans="6:11" x14ac:dyDescent="0.25">
      <c r="F20" s="16" t="s">
        <v>81</v>
      </c>
      <c r="G20" s="16"/>
    </row>
    <row r="21" spans="6:11" x14ac:dyDescent="0.25">
      <c r="F21" s="8" t="s">
        <v>82</v>
      </c>
      <c r="G21" s="8">
        <v>0.39991678648032503</v>
      </c>
    </row>
    <row r="22" spans="6:11" x14ac:dyDescent="0.25">
      <c r="F22" s="8" t="s">
        <v>83</v>
      </c>
      <c r="G22" s="8">
        <v>0.15993343610874988</v>
      </c>
    </row>
    <row r="23" spans="6:11" x14ac:dyDescent="0.25">
      <c r="F23" s="8" t="s">
        <v>84</v>
      </c>
      <c r="G23" s="8">
        <v>-0.12008875185500016</v>
      </c>
    </row>
    <row r="24" spans="6:11" x14ac:dyDescent="0.25">
      <c r="F24" s="8" t="s">
        <v>85</v>
      </c>
      <c r="G24" s="13">
        <v>101.13955965059264</v>
      </c>
    </row>
    <row r="25" spans="6:11" ht="15.75" thickBot="1" x14ac:dyDescent="0.3">
      <c r="F25" s="9" t="s">
        <v>29</v>
      </c>
      <c r="G25" s="9">
        <v>5</v>
      </c>
    </row>
    <row r="27" spans="6:11" ht="15.75" thickBot="1" x14ac:dyDescent="0.3">
      <c r="F27" t="s">
        <v>86</v>
      </c>
    </row>
    <row r="28" spans="6:11" x14ac:dyDescent="0.25">
      <c r="F28" s="10"/>
      <c r="G28" s="10" t="s">
        <v>30</v>
      </c>
      <c r="H28" s="10" t="s">
        <v>91</v>
      </c>
      <c r="I28" s="10" t="s">
        <v>92</v>
      </c>
      <c r="J28" s="10" t="s">
        <v>31</v>
      </c>
      <c r="K28" s="10" t="s">
        <v>93</v>
      </c>
    </row>
    <row r="29" spans="6:11" x14ac:dyDescent="0.25">
      <c r="F29" s="8" t="s">
        <v>87</v>
      </c>
      <c r="G29" s="8">
        <v>1</v>
      </c>
      <c r="H29" s="8">
        <v>5842.3684210526335</v>
      </c>
      <c r="I29" s="8">
        <v>5842.3684210526335</v>
      </c>
      <c r="J29" s="8">
        <v>0.5711455841115487</v>
      </c>
      <c r="K29" s="8">
        <v>0.50472868285323547</v>
      </c>
    </row>
    <row r="30" spans="6:11" x14ac:dyDescent="0.25">
      <c r="F30" s="8" t="s">
        <v>88</v>
      </c>
      <c r="G30" s="8">
        <v>3</v>
      </c>
      <c r="H30" s="8">
        <v>30687.631578947367</v>
      </c>
      <c r="I30" s="8">
        <v>10229.210526315788</v>
      </c>
      <c r="J30" s="8"/>
      <c r="K30" s="8"/>
    </row>
    <row r="31" spans="6:11" ht="15.75" thickBot="1" x14ac:dyDescent="0.3">
      <c r="F31" s="9" t="s">
        <v>89</v>
      </c>
      <c r="G31" s="9">
        <v>4</v>
      </c>
      <c r="H31" s="9">
        <v>36530</v>
      </c>
      <c r="I31" s="9"/>
      <c r="J31" s="9"/>
      <c r="K31" s="9"/>
    </row>
    <row r="32" spans="6:11" ht="15.75" thickBot="1" x14ac:dyDescent="0.3"/>
    <row r="33" spans="6:14" x14ac:dyDescent="0.25">
      <c r="F33" s="10"/>
      <c r="G33" s="10" t="s">
        <v>94</v>
      </c>
      <c r="H33" s="10" t="s">
        <v>85</v>
      </c>
      <c r="I33" s="10" t="s">
        <v>37</v>
      </c>
      <c r="J33" s="10" t="s">
        <v>95</v>
      </c>
      <c r="K33" s="10" t="s">
        <v>96</v>
      </c>
      <c r="L33" s="10" t="s">
        <v>97</v>
      </c>
      <c r="M33" s="10" t="s">
        <v>98</v>
      </c>
      <c r="N33" s="10" t="s">
        <v>99</v>
      </c>
    </row>
    <row r="34" spans="6:14" x14ac:dyDescent="0.25">
      <c r="F34" s="8" t="s">
        <v>90</v>
      </c>
      <c r="G34" s="8">
        <v>152.76315789473685</v>
      </c>
      <c r="H34" s="8">
        <v>47.834222904594434</v>
      </c>
      <c r="I34" s="8">
        <v>3.1935954765989121</v>
      </c>
      <c r="J34" s="8">
        <v>4.9574307673944162E-2</v>
      </c>
      <c r="K34" s="8">
        <v>0.53331194589293318</v>
      </c>
      <c r="L34" s="8">
        <v>304.99300384358077</v>
      </c>
      <c r="M34" s="8">
        <v>0.53331194589293318</v>
      </c>
      <c r="N34" s="8">
        <v>304.99300384358077</v>
      </c>
    </row>
    <row r="35" spans="6:14" ht="15.75" thickBot="1" x14ac:dyDescent="0.3">
      <c r="F35" s="9" t="s">
        <v>74</v>
      </c>
      <c r="G35" s="9">
        <v>6.5350877192982457</v>
      </c>
      <c r="H35" s="9">
        <v>8.647249895077767</v>
      </c>
      <c r="I35" s="9">
        <v>0.75574174432245589</v>
      </c>
      <c r="J35" s="9">
        <v>0.50472868285323591</v>
      </c>
      <c r="K35" s="9">
        <v>-20.984320760156933</v>
      </c>
      <c r="L35" s="9">
        <v>34.054496198753426</v>
      </c>
      <c r="M35" s="9">
        <v>-20.984320760156933</v>
      </c>
      <c r="N35" s="9">
        <v>34.054496198753426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L5" sqref="L5"/>
    </sheetView>
  </sheetViews>
  <sheetFormatPr defaultRowHeight="15" x14ac:dyDescent="0.25"/>
  <sheetData>
    <row r="1" spans="1:17" x14ac:dyDescent="0.25">
      <c r="A1" t="s">
        <v>106</v>
      </c>
      <c r="F1" t="s">
        <v>2</v>
      </c>
      <c r="I1" t="s">
        <v>80</v>
      </c>
    </row>
    <row r="2" spans="1:17" ht="15.75" thickBot="1" x14ac:dyDescent="0.3">
      <c r="A2" t="s">
        <v>6</v>
      </c>
      <c r="B2">
        <f>43.5714-1.7143*18</f>
        <v>12.713999999999999</v>
      </c>
      <c r="F2" t="s">
        <v>74</v>
      </c>
      <c r="G2" t="s">
        <v>75</v>
      </c>
    </row>
    <row r="3" spans="1:17" x14ac:dyDescent="0.25">
      <c r="F3">
        <v>18</v>
      </c>
      <c r="G3">
        <v>8</v>
      </c>
      <c r="I3" s="16" t="s">
        <v>81</v>
      </c>
      <c r="J3" s="16"/>
    </row>
    <row r="4" spans="1:17" x14ac:dyDescent="0.25">
      <c r="F4">
        <v>16</v>
      </c>
      <c r="G4">
        <v>21</v>
      </c>
      <c r="I4" s="8" t="s">
        <v>82</v>
      </c>
      <c r="J4" s="8">
        <v>0.75527361087488099</v>
      </c>
    </row>
    <row r="5" spans="1:17" x14ac:dyDescent="0.25">
      <c r="F5">
        <v>16</v>
      </c>
      <c r="G5">
        <v>22</v>
      </c>
      <c r="I5" s="8" t="s">
        <v>83</v>
      </c>
      <c r="J5" s="8">
        <v>0.57043822728398119</v>
      </c>
    </row>
    <row r="6" spans="1:17" x14ac:dyDescent="0.25">
      <c r="F6">
        <v>20</v>
      </c>
      <c r="G6">
        <v>7</v>
      </c>
      <c r="I6" s="8" t="s">
        <v>84</v>
      </c>
      <c r="J6" s="8">
        <v>0.4272509697119749</v>
      </c>
    </row>
    <row r="7" spans="1:17" x14ac:dyDescent="0.25">
      <c r="F7">
        <v>11</v>
      </c>
      <c r="G7">
        <v>21</v>
      </c>
      <c r="I7" s="8" t="s">
        <v>85</v>
      </c>
      <c r="J7" s="8">
        <v>5.7487058585058115</v>
      </c>
    </row>
    <row r="8" spans="1:17" ht="15.75" thickBot="1" x14ac:dyDescent="0.3">
      <c r="I8" s="9" t="s">
        <v>29</v>
      </c>
      <c r="J8" s="9">
        <v>5</v>
      </c>
    </row>
    <row r="10" spans="1:17" ht="15.75" thickBot="1" x14ac:dyDescent="0.3">
      <c r="I10" t="s">
        <v>86</v>
      </c>
    </row>
    <row r="11" spans="1:17" x14ac:dyDescent="0.25">
      <c r="I11" s="10"/>
      <c r="J11" s="10" t="s">
        <v>30</v>
      </c>
      <c r="K11" s="10" t="s">
        <v>91</v>
      </c>
      <c r="L11" s="10" t="s">
        <v>92</v>
      </c>
      <c r="M11" s="10" t="s">
        <v>31</v>
      </c>
      <c r="N11" s="10" t="s">
        <v>93</v>
      </c>
    </row>
    <row r="12" spans="1:17" x14ac:dyDescent="0.25">
      <c r="I12" s="8" t="s">
        <v>87</v>
      </c>
      <c r="J12" s="8">
        <v>1</v>
      </c>
      <c r="K12" s="8">
        <v>131.65714285714284</v>
      </c>
      <c r="L12" s="8">
        <v>131.65714285714284</v>
      </c>
      <c r="M12" s="8">
        <v>3.9838616714697408</v>
      </c>
      <c r="N12" s="8">
        <v>0.13987252616680507</v>
      </c>
    </row>
    <row r="13" spans="1:17" x14ac:dyDescent="0.25">
      <c r="I13" s="8" t="s">
        <v>88</v>
      </c>
      <c r="J13" s="8">
        <v>3</v>
      </c>
      <c r="K13" s="8">
        <v>99.142857142857139</v>
      </c>
      <c r="L13" s="8">
        <v>33.047619047619044</v>
      </c>
      <c r="M13" s="8"/>
      <c r="N13" s="8"/>
    </row>
    <row r="14" spans="1:17" ht="15.75" thickBot="1" x14ac:dyDescent="0.3">
      <c r="I14" s="9" t="s">
        <v>89</v>
      </c>
      <c r="J14" s="9">
        <v>4</v>
      </c>
      <c r="K14" s="9">
        <v>230.79999999999998</v>
      </c>
      <c r="L14" s="9"/>
      <c r="M14" s="9"/>
      <c r="N14" s="9"/>
    </row>
    <row r="15" spans="1:17" ht="15.75" thickBot="1" x14ac:dyDescent="0.3"/>
    <row r="16" spans="1:17" x14ac:dyDescent="0.25">
      <c r="I16" s="10"/>
      <c r="J16" s="10" t="s">
        <v>94</v>
      </c>
      <c r="K16" s="10" t="s">
        <v>85</v>
      </c>
      <c r="L16" s="10" t="s">
        <v>37</v>
      </c>
      <c r="M16" s="10" t="s">
        <v>95</v>
      </c>
      <c r="N16" s="10" t="s">
        <v>96</v>
      </c>
      <c r="O16" s="10" t="s">
        <v>97</v>
      </c>
      <c r="P16" s="10" t="s">
        <v>98</v>
      </c>
      <c r="Q16" s="10" t="s">
        <v>99</v>
      </c>
    </row>
    <row r="17" spans="9:17" x14ac:dyDescent="0.25">
      <c r="I17" s="8" t="s">
        <v>90</v>
      </c>
      <c r="J17" s="12">
        <v>43.571428571428569</v>
      </c>
      <c r="K17" s="8">
        <v>14.149334134954373</v>
      </c>
      <c r="L17" s="8">
        <v>3.0793978116461433</v>
      </c>
      <c r="M17" s="8">
        <v>5.4161482915189338E-2</v>
      </c>
      <c r="N17" s="8">
        <v>-1.4580675685816402</v>
      </c>
      <c r="O17" s="8">
        <v>88.600924711438779</v>
      </c>
      <c r="P17" s="8">
        <v>-1.4580675685816402</v>
      </c>
      <c r="Q17" s="8">
        <v>88.600924711438779</v>
      </c>
    </row>
    <row r="18" spans="9:17" ht="15.75" thickBot="1" x14ac:dyDescent="0.3">
      <c r="I18" s="9" t="s">
        <v>74</v>
      </c>
      <c r="J18" s="17">
        <v>-1.7142857142857144</v>
      </c>
      <c r="K18" s="9">
        <v>0.85887721359179781</v>
      </c>
      <c r="L18" s="9">
        <v>-1.9959613401741383</v>
      </c>
      <c r="M18" s="9">
        <v>0.13987252616680504</v>
      </c>
      <c r="N18" s="9">
        <v>-4.4476163293732984</v>
      </c>
      <c r="O18" s="9">
        <v>1.0190449008018696</v>
      </c>
      <c r="P18" s="9">
        <v>-4.4476163293732984</v>
      </c>
      <c r="Q18" s="9">
        <v>1.0190449008018696</v>
      </c>
    </row>
    <row r="21" spans="9:17" x14ac:dyDescent="0.25">
      <c r="I21">
        <f>18*J18+J17</f>
        <v>12.714285714285708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9" sqref="E9"/>
    </sheetView>
  </sheetViews>
  <sheetFormatPr defaultRowHeight="15" x14ac:dyDescent="0.25"/>
  <sheetData>
    <row r="1" spans="1:3" x14ac:dyDescent="0.25">
      <c r="A1" t="s">
        <v>107</v>
      </c>
    </row>
    <row r="2" spans="1:3" x14ac:dyDescent="0.25">
      <c r="A2" t="s">
        <v>1</v>
      </c>
      <c r="B2">
        <f>SQRT(4.286)</f>
        <v>2.0702656834329258</v>
      </c>
      <c r="C2">
        <f>SQRT(60/14)</f>
        <v>2.0701966780270626</v>
      </c>
    </row>
    <row r="3" spans="1:3" x14ac:dyDescent="0.25">
      <c r="A3" t="s">
        <v>3</v>
      </c>
      <c r="B3" s="6">
        <f>460/520</f>
        <v>0.88461538461538458</v>
      </c>
    </row>
    <row r="4" spans="1:3" x14ac:dyDescent="0.25">
      <c r="A4" t="s">
        <v>6</v>
      </c>
      <c r="B4" s="2">
        <f>-SQRT(B3)</f>
        <v>-0.94053994312596023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L4" sqref="L4"/>
    </sheetView>
  </sheetViews>
  <sheetFormatPr defaultRowHeight="15" x14ac:dyDescent="0.25"/>
  <cols>
    <col min="9" max="9" width="16.42578125" customWidth="1"/>
  </cols>
  <sheetData>
    <row r="1" spans="1:17" x14ac:dyDescent="0.25">
      <c r="A1" t="s">
        <v>108</v>
      </c>
      <c r="F1" t="s">
        <v>2</v>
      </c>
      <c r="I1" t="s">
        <v>80</v>
      </c>
    </row>
    <row r="2" spans="1:17" ht="15.75" thickBot="1" x14ac:dyDescent="0.3">
      <c r="A2" t="s">
        <v>1</v>
      </c>
      <c r="B2" s="2">
        <f>J7</f>
        <v>7.4997109770900101</v>
      </c>
      <c r="F2" t="s">
        <v>74</v>
      </c>
      <c r="G2" t="s">
        <v>75</v>
      </c>
    </row>
    <row r="3" spans="1:17" x14ac:dyDescent="0.25">
      <c r="A3" t="s">
        <v>3</v>
      </c>
      <c r="B3" s="2">
        <f>2*B2</f>
        <v>14.99942195418002</v>
      </c>
      <c r="F3">
        <v>3</v>
      </c>
      <c r="G3">
        <v>8</v>
      </c>
      <c r="I3" s="16" t="s">
        <v>81</v>
      </c>
      <c r="J3" s="16"/>
    </row>
    <row r="4" spans="1:17" x14ac:dyDescent="0.25">
      <c r="F4">
        <v>12</v>
      </c>
      <c r="G4">
        <v>5</v>
      </c>
      <c r="I4" s="8" t="s">
        <v>82</v>
      </c>
      <c r="J4" s="8">
        <v>0.38443849766458105</v>
      </c>
    </row>
    <row r="5" spans="1:17" x14ac:dyDescent="0.25">
      <c r="F5">
        <v>2</v>
      </c>
      <c r="G5">
        <v>20</v>
      </c>
      <c r="I5" s="8" t="s">
        <v>83</v>
      </c>
      <c r="J5" s="8">
        <v>0.1477929584866001</v>
      </c>
    </row>
    <row r="6" spans="1:17" x14ac:dyDescent="0.25">
      <c r="F6">
        <v>9</v>
      </c>
      <c r="G6">
        <v>17</v>
      </c>
      <c r="I6" s="8" t="s">
        <v>84</v>
      </c>
      <c r="J6" s="8">
        <v>-0.13627605535119988</v>
      </c>
    </row>
    <row r="7" spans="1:17" x14ac:dyDescent="0.25">
      <c r="F7">
        <v>7</v>
      </c>
      <c r="G7">
        <v>20</v>
      </c>
      <c r="I7" s="8" t="s">
        <v>85</v>
      </c>
      <c r="J7" s="8">
        <v>7.4997109770900101</v>
      </c>
    </row>
    <row r="8" spans="1:17" ht="15.75" thickBot="1" x14ac:dyDescent="0.3">
      <c r="I8" s="9" t="s">
        <v>29</v>
      </c>
      <c r="J8" s="9">
        <v>5</v>
      </c>
    </row>
    <row r="10" spans="1:17" ht="15.75" thickBot="1" x14ac:dyDescent="0.3">
      <c r="I10" t="s">
        <v>86</v>
      </c>
    </row>
    <row r="11" spans="1:17" x14ac:dyDescent="0.25">
      <c r="I11" s="10"/>
      <c r="J11" s="10" t="s">
        <v>30</v>
      </c>
      <c r="K11" s="10" t="s">
        <v>91</v>
      </c>
      <c r="L11" s="10" t="s">
        <v>92</v>
      </c>
      <c r="M11" s="10" t="s">
        <v>31</v>
      </c>
      <c r="N11" s="10" t="s">
        <v>93</v>
      </c>
    </row>
    <row r="12" spans="1:17" x14ac:dyDescent="0.25">
      <c r="I12" s="8" t="s">
        <v>87</v>
      </c>
      <c r="J12" s="8">
        <v>1</v>
      </c>
      <c r="K12" s="8">
        <v>29.263005780346816</v>
      </c>
      <c r="L12" s="8">
        <v>29.263005780346816</v>
      </c>
      <c r="M12" s="8">
        <v>0.52027131185447806</v>
      </c>
      <c r="N12" s="8">
        <v>0.52285721633397586</v>
      </c>
    </row>
    <row r="13" spans="1:17" x14ac:dyDescent="0.25">
      <c r="I13" s="8" t="s">
        <v>88</v>
      </c>
      <c r="J13" s="8">
        <v>3</v>
      </c>
      <c r="K13" s="8">
        <v>168.73699421965318</v>
      </c>
      <c r="L13" s="8">
        <v>56.245664739884397</v>
      </c>
      <c r="M13" s="8"/>
      <c r="N13" s="8"/>
    </row>
    <row r="14" spans="1:17" ht="15.75" thickBot="1" x14ac:dyDescent="0.3">
      <c r="I14" s="9" t="s">
        <v>89</v>
      </c>
      <c r="J14" s="9">
        <v>4</v>
      </c>
      <c r="K14" s="9">
        <v>198</v>
      </c>
      <c r="L14" s="9"/>
      <c r="M14" s="9"/>
      <c r="N14" s="9"/>
    </row>
    <row r="15" spans="1:17" ht="15.75" thickBot="1" x14ac:dyDescent="0.3"/>
    <row r="16" spans="1:17" x14ac:dyDescent="0.25">
      <c r="I16" s="10"/>
      <c r="J16" s="10" t="s">
        <v>94</v>
      </c>
      <c r="K16" s="10" t="s">
        <v>85</v>
      </c>
      <c r="L16" s="10" t="s">
        <v>37</v>
      </c>
      <c r="M16" s="10" t="s">
        <v>95</v>
      </c>
      <c r="N16" s="10" t="s">
        <v>96</v>
      </c>
      <c r="O16" s="10" t="s">
        <v>97</v>
      </c>
      <c r="P16" s="10" t="s">
        <v>98</v>
      </c>
      <c r="Q16" s="10" t="s">
        <v>99</v>
      </c>
    </row>
    <row r="17" spans="9:17" x14ac:dyDescent="0.25">
      <c r="I17" s="8" t="s">
        <v>90</v>
      </c>
      <c r="J17" s="8">
        <v>18.291907514450866</v>
      </c>
      <c r="K17" s="8">
        <v>6.8304202640585254</v>
      </c>
      <c r="L17" s="8">
        <v>2.6780061558879993</v>
      </c>
      <c r="M17" s="8">
        <v>7.5176279651890471E-2</v>
      </c>
      <c r="N17" s="8">
        <v>-3.4455382184371643</v>
      </c>
      <c r="O17" s="8">
        <v>40.029353247338896</v>
      </c>
      <c r="P17" s="8">
        <v>-3.4455382184371643</v>
      </c>
      <c r="Q17" s="8">
        <v>40.029353247338896</v>
      </c>
    </row>
    <row r="18" spans="9:17" ht="15.75" thickBot="1" x14ac:dyDescent="0.3">
      <c r="I18" s="9" t="s">
        <v>74</v>
      </c>
      <c r="J18" s="9">
        <v>-0.6502890173410405</v>
      </c>
      <c r="K18" s="9">
        <v>0.90155345011193555</v>
      </c>
      <c r="L18" s="9">
        <v>-0.72129835148465304</v>
      </c>
      <c r="M18" s="9">
        <v>0.52285721633397642</v>
      </c>
      <c r="N18" s="9">
        <v>-3.5194344636655503</v>
      </c>
      <c r="O18" s="9">
        <v>2.2188564289834694</v>
      </c>
      <c r="P18" s="9">
        <v>-3.5194344636655503</v>
      </c>
      <c r="Q18" s="9">
        <v>2.2188564289834694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D9" sqref="D9"/>
    </sheetView>
  </sheetViews>
  <sheetFormatPr defaultRowHeight="15" x14ac:dyDescent="0.25"/>
  <cols>
    <col min="8" max="8" width="10.5703125" bestFit="1" customWidth="1"/>
    <col min="11" max="11" width="14.42578125" customWidth="1"/>
  </cols>
  <sheetData>
    <row r="1" spans="1:19" x14ac:dyDescent="0.25">
      <c r="A1" t="s">
        <v>109</v>
      </c>
      <c r="H1" t="s">
        <v>2</v>
      </c>
      <c r="K1" t="s">
        <v>80</v>
      </c>
    </row>
    <row r="2" spans="1:19" ht="15.75" thickBot="1" x14ac:dyDescent="0.3">
      <c r="A2" t="s">
        <v>1</v>
      </c>
      <c r="B2" s="2">
        <f>CORREL(H3:H12,I3:I12)</f>
        <v>-0.83930181478200139</v>
      </c>
      <c r="H2" t="s">
        <v>110</v>
      </c>
      <c r="I2" t="s">
        <v>111</v>
      </c>
    </row>
    <row r="3" spans="1:19" x14ac:dyDescent="0.25">
      <c r="H3">
        <v>3</v>
      </c>
      <c r="I3">
        <v>129</v>
      </c>
      <c r="K3" s="16" t="s">
        <v>81</v>
      </c>
      <c r="L3" s="16"/>
    </row>
    <row r="4" spans="1:19" x14ac:dyDescent="0.25">
      <c r="H4">
        <v>7</v>
      </c>
      <c r="I4">
        <v>93</v>
      </c>
      <c r="K4" s="8" t="s">
        <v>82</v>
      </c>
      <c r="L4" s="8">
        <v>0.83930181478200105</v>
      </c>
    </row>
    <row r="5" spans="1:19" x14ac:dyDescent="0.25">
      <c r="H5">
        <v>8</v>
      </c>
      <c r="I5">
        <v>81</v>
      </c>
      <c r="K5" s="8" t="s">
        <v>83</v>
      </c>
      <c r="L5" s="8">
        <v>0.70442753629636046</v>
      </c>
    </row>
    <row r="6" spans="1:19" x14ac:dyDescent="0.25">
      <c r="H6">
        <v>11</v>
      </c>
      <c r="I6">
        <v>66</v>
      </c>
      <c r="K6" s="8" t="s">
        <v>84</v>
      </c>
      <c r="L6" s="8">
        <v>0.66748097833340547</v>
      </c>
    </row>
    <row r="7" spans="1:19" x14ac:dyDescent="0.25">
      <c r="H7">
        <v>15</v>
      </c>
      <c r="I7">
        <v>51</v>
      </c>
      <c r="K7" s="8" t="s">
        <v>85</v>
      </c>
      <c r="L7" s="13">
        <v>19.929355051219339</v>
      </c>
    </row>
    <row r="8" spans="1:19" ht="15.75" thickBot="1" x14ac:dyDescent="0.3">
      <c r="H8">
        <v>22</v>
      </c>
      <c r="I8">
        <v>45</v>
      </c>
      <c r="K8" s="9" t="s">
        <v>29</v>
      </c>
      <c r="L8" s="9">
        <v>10</v>
      </c>
    </row>
    <row r="9" spans="1:19" x14ac:dyDescent="0.25">
      <c r="H9">
        <v>31</v>
      </c>
      <c r="I9">
        <v>34</v>
      </c>
    </row>
    <row r="10" spans="1:19" ht="15.75" thickBot="1" x14ac:dyDescent="0.3">
      <c r="H10">
        <v>37</v>
      </c>
      <c r="I10">
        <v>29</v>
      </c>
      <c r="K10" t="s">
        <v>86</v>
      </c>
    </row>
    <row r="11" spans="1:19" x14ac:dyDescent="0.25">
      <c r="H11">
        <v>46</v>
      </c>
      <c r="I11">
        <v>27</v>
      </c>
      <c r="K11" s="10"/>
      <c r="L11" s="10" t="s">
        <v>30</v>
      </c>
      <c r="M11" s="10" t="s">
        <v>91</v>
      </c>
      <c r="N11" s="10" t="s">
        <v>92</v>
      </c>
      <c r="O11" s="10" t="s">
        <v>31</v>
      </c>
      <c r="P11" s="10" t="s">
        <v>93</v>
      </c>
    </row>
    <row r="12" spans="1:19" x14ac:dyDescent="0.25">
      <c r="H12">
        <v>62</v>
      </c>
      <c r="I12">
        <v>22</v>
      </c>
      <c r="K12" s="8" t="s">
        <v>87</v>
      </c>
      <c r="L12" s="8">
        <v>1</v>
      </c>
      <c r="M12" s="8">
        <v>7572.6664579395037</v>
      </c>
      <c r="N12" s="8">
        <v>7572.6664579395037</v>
      </c>
      <c r="O12" s="8">
        <v>19.066120773758303</v>
      </c>
      <c r="P12" s="8">
        <v>2.3917625059512509E-3</v>
      </c>
    </row>
    <row r="13" spans="1:19" x14ac:dyDescent="0.25">
      <c r="K13" s="8" t="s">
        <v>88</v>
      </c>
      <c r="L13" s="8">
        <v>8</v>
      </c>
      <c r="M13" s="8">
        <v>3177.4335420604948</v>
      </c>
      <c r="N13" s="8">
        <v>397.17919275756185</v>
      </c>
      <c r="O13" s="8"/>
      <c r="P13" s="8"/>
    </row>
    <row r="14" spans="1:19" ht="15.75" thickBot="1" x14ac:dyDescent="0.3">
      <c r="K14" s="9" t="s">
        <v>89</v>
      </c>
      <c r="L14" s="9">
        <v>9</v>
      </c>
      <c r="M14" s="9">
        <v>10750.099999999999</v>
      </c>
      <c r="N14" s="9"/>
      <c r="O14" s="9"/>
      <c r="P14" s="9"/>
    </row>
    <row r="15" spans="1:19" ht="15.75" thickBot="1" x14ac:dyDescent="0.3"/>
    <row r="16" spans="1:19" x14ac:dyDescent="0.25">
      <c r="K16" s="10"/>
      <c r="L16" s="10" t="s">
        <v>94</v>
      </c>
      <c r="M16" s="10" t="s">
        <v>85</v>
      </c>
      <c r="N16" s="10" t="s">
        <v>37</v>
      </c>
      <c r="O16" s="10" t="s">
        <v>95</v>
      </c>
      <c r="P16" s="10" t="s">
        <v>96</v>
      </c>
      <c r="Q16" s="10" t="s">
        <v>97</v>
      </c>
      <c r="R16" s="10" t="s">
        <v>98</v>
      </c>
      <c r="S16" s="10" t="s">
        <v>99</v>
      </c>
    </row>
    <row r="17" spans="11:19" x14ac:dyDescent="0.25">
      <c r="K17" s="8" t="s">
        <v>90</v>
      </c>
      <c r="L17" s="8">
        <v>93.892781190926286</v>
      </c>
      <c r="M17" s="8">
        <v>10.41258125543486</v>
      </c>
      <c r="N17" s="8">
        <v>9.0172435525455157</v>
      </c>
      <c r="O17" s="8">
        <v>1.8272197190437695E-5</v>
      </c>
      <c r="P17" s="8">
        <v>69.881325757744094</v>
      </c>
      <c r="Q17" s="8">
        <v>117.90423662410848</v>
      </c>
      <c r="R17" s="8">
        <v>69.881325757744094</v>
      </c>
      <c r="S17" s="8">
        <v>117.90423662410848</v>
      </c>
    </row>
    <row r="18" spans="11:19" ht="15.75" thickBot="1" x14ac:dyDescent="0.3">
      <c r="K18" s="9" t="s">
        <v>110</v>
      </c>
      <c r="L18" s="9">
        <v>-1.4955694706994334</v>
      </c>
      <c r="M18" s="9">
        <v>0.3425117079349716</v>
      </c>
      <c r="N18" s="9">
        <v>-4.3664769292598269</v>
      </c>
      <c r="O18" s="9">
        <v>2.3917625059512401E-3</v>
      </c>
      <c r="P18" s="9">
        <v>-2.2854028855533199</v>
      </c>
      <c r="Q18" s="9">
        <v>-0.70573605584554688</v>
      </c>
      <c r="R18" s="9">
        <v>-2.2854028855533199</v>
      </c>
      <c r="S18" s="9">
        <v>-0.70573605584554688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0" workbookViewId="0">
      <selection activeCell="D20" sqref="D19:D20"/>
    </sheetView>
  </sheetViews>
  <sheetFormatPr defaultRowHeight="15" x14ac:dyDescent="0.25"/>
  <cols>
    <col min="8" max="8" width="17.42578125" customWidth="1"/>
  </cols>
  <sheetData>
    <row r="1" spans="1:16" x14ac:dyDescent="0.25">
      <c r="A1" t="s">
        <v>112</v>
      </c>
      <c r="E1" t="s">
        <v>2</v>
      </c>
      <c r="H1" t="s">
        <v>80</v>
      </c>
    </row>
    <row r="2" spans="1:16" ht="15.75" thickBot="1" x14ac:dyDescent="0.3">
      <c r="A2" t="s">
        <v>1</v>
      </c>
      <c r="B2" s="1">
        <f>SQRT(K13)</f>
        <v>5.1554706473911143</v>
      </c>
      <c r="E2" t="s">
        <v>74</v>
      </c>
      <c r="F2" t="s">
        <v>75</v>
      </c>
    </row>
    <row r="3" spans="1:16" x14ac:dyDescent="0.25">
      <c r="A3" t="s">
        <v>3</v>
      </c>
      <c r="B3" s="1">
        <f>2*B2</f>
        <v>10.310941294782229</v>
      </c>
      <c r="C3" s="1">
        <f>2*5.1555</f>
        <v>10.311</v>
      </c>
      <c r="E3">
        <v>11</v>
      </c>
      <c r="F3">
        <v>3</v>
      </c>
      <c r="H3" s="16" t="s">
        <v>81</v>
      </c>
      <c r="I3" s="16"/>
    </row>
    <row r="4" spans="1:16" x14ac:dyDescent="0.25">
      <c r="E4">
        <v>5</v>
      </c>
      <c r="F4">
        <v>20</v>
      </c>
      <c r="H4" s="8" t="s">
        <v>82</v>
      </c>
      <c r="I4" s="8">
        <v>0.76097791609098431</v>
      </c>
    </row>
    <row r="5" spans="1:16" x14ac:dyDescent="0.25">
      <c r="E5">
        <v>4</v>
      </c>
      <c r="F5">
        <v>15</v>
      </c>
      <c r="H5" s="8" t="s">
        <v>83</v>
      </c>
      <c r="I5" s="8">
        <v>0.57908738877817711</v>
      </c>
    </row>
    <row r="6" spans="1:16" x14ac:dyDescent="0.25">
      <c r="E6">
        <v>5</v>
      </c>
      <c r="F6">
        <v>7</v>
      </c>
      <c r="H6" s="8" t="s">
        <v>84</v>
      </c>
      <c r="I6" s="8">
        <v>0.50893528690787326</v>
      </c>
    </row>
    <row r="7" spans="1:16" x14ac:dyDescent="0.25">
      <c r="E7">
        <v>19</v>
      </c>
      <c r="F7">
        <v>2</v>
      </c>
      <c r="H7" s="8" t="s">
        <v>85</v>
      </c>
      <c r="I7" s="8">
        <v>5.1554706473911143</v>
      </c>
    </row>
    <row r="8" spans="1:16" ht="15.75" thickBot="1" x14ac:dyDescent="0.3">
      <c r="E8">
        <v>13</v>
      </c>
      <c r="F8">
        <v>3</v>
      </c>
      <c r="H8" s="9" t="s">
        <v>29</v>
      </c>
      <c r="I8" s="9">
        <v>8</v>
      </c>
    </row>
    <row r="9" spans="1:16" x14ac:dyDescent="0.25">
      <c r="E9">
        <v>5</v>
      </c>
      <c r="F9">
        <v>18</v>
      </c>
    </row>
    <row r="10" spans="1:16" ht="15.75" thickBot="1" x14ac:dyDescent="0.3">
      <c r="E10">
        <v>19</v>
      </c>
      <c r="F10">
        <v>5</v>
      </c>
      <c r="H10" t="s">
        <v>86</v>
      </c>
    </row>
    <row r="11" spans="1:16" x14ac:dyDescent="0.25">
      <c r="H11" s="10"/>
      <c r="I11" s="10" t="s">
        <v>30</v>
      </c>
      <c r="J11" s="10" t="s">
        <v>91</v>
      </c>
      <c r="K11" s="10" t="s">
        <v>92</v>
      </c>
      <c r="L11" s="10" t="s">
        <v>31</v>
      </c>
      <c r="M11" s="10" t="s">
        <v>93</v>
      </c>
    </row>
    <row r="12" spans="1:16" x14ac:dyDescent="0.25">
      <c r="H12" s="8" t="s">
        <v>87</v>
      </c>
      <c r="I12" s="8">
        <v>1</v>
      </c>
      <c r="J12" s="8">
        <v>219.40173442333185</v>
      </c>
      <c r="K12" s="8">
        <v>219.40173442333185</v>
      </c>
      <c r="L12" s="8">
        <v>8.2547403903704186</v>
      </c>
      <c r="M12" s="8">
        <v>2.8311795966767455E-2</v>
      </c>
    </row>
    <row r="13" spans="1:16" x14ac:dyDescent="0.25">
      <c r="H13" s="8" t="s">
        <v>88</v>
      </c>
      <c r="I13" s="8">
        <v>6</v>
      </c>
      <c r="J13" s="8">
        <v>159.47326557666815</v>
      </c>
      <c r="K13" s="8">
        <v>26.578877596111358</v>
      </c>
      <c r="L13" s="8"/>
      <c r="M13" s="8"/>
    </row>
    <row r="14" spans="1:16" ht="15.75" thickBot="1" x14ac:dyDescent="0.3">
      <c r="H14" s="9" t="s">
        <v>89</v>
      </c>
      <c r="I14" s="9">
        <v>7</v>
      </c>
      <c r="J14" s="9">
        <v>378.875</v>
      </c>
      <c r="K14" s="9"/>
      <c r="L14" s="9"/>
      <c r="M14" s="9"/>
    </row>
    <row r="15" spans="1:16" ht="15.75" thickBot="1" x14ac:dyDescent="0.3"/>
    <row r="16" spans="1:16" x14ac:dyDescent="0.25">
      <c r="H16" s="10"/>
      <c r="I16" s="10" t="s">
        <v>94</v>
      </c>
      <c r="J16" s="10" t="s">
        <v>85</v>
      </c>
      <c r="K16" s="10" t="s">
        <v>37</v>
      </c>
      <c r="L16" s="10" t="s">
        <v>95</v>
      </c>
      <c r="M16" s="10" t="s">
        <v>96</v>
      </c>
      <c r="N16" s="10" t="s">
        <v>97</v>
      </c>
      <c r="O16" s="10" t="s">
        <v>98</v>
      </c>
      <c r="P16" s="10" t="s">
        <v>99</v>
      </c>
    </row>
    <row r="17" spans="8:16" x14ac:dyDescent="0.25">
      <c r="H17" s="8" t="s">
        <v>90</v>
      </c>
      <c r="I17" s="8">
        <v>18.041979673000437</v>
      </c>
      <c r="J17" s="8">
        <v>3.5992647889526856</v>
      </c>
      <c r="K17" s="8">
        <v>5.012684737276663</v>
      </c>
      <c r="L17" s="8">
        <v>2.4215902809833416E-3</v>
      </c>
      <c r="M17" s="8">
        <v>9.2348960055033125</v>
      </c>
      <c r="N17" s="8">
        <v>26.849063340497562</v>
      </c>
      <c r="O17" s="8">
        <v>9.2348960055033125</v>
      </c>
      <c r="P17" s="8">
        <v>26.849063340497562</v>
      </c>
    </row>
    <row r="18" spans="8:16" ht="15.75" thickBot="1" x14ac:dyDescent="0.3">
      <c r="H18" s="9" t="s">
        <v>74</v>
      </c>
      <c r="I18" s="9">
        <v>-0.88068935041979635</v>
      </c>
      <c r="J18" s="9">
        <v>0.30652862357334687</v>
      </c>
      <c r="K18" s="9">
        <v>-2.8731064008091334</v>
      </c>
      <c r="L18" s="9">
        <v>2.8311795966767514E-2</v>
      </c>
      <c r="M18" s="9">
        <v>-1.6307378721565742</v>
      </c>
      <c r="N18" s="9">
        <v>-0.13064082868301852</v>
      </c>
      <c r="O18" s="9">
        <v>-1.6307378721565742</v>
      </c>
      <c r="P18" s="9">
        <v>-0.13064082868301852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12" sqref="D12"/>
    </sheetView>
  </sheetViews>
  <sheetFormatPr defaultRowHeight="15" x14ac:dyDescent="0.25"/>
  <cols>
    <col min="2" max="2" width="12" bestFit="1" customWidth="1"/>
  </cols>
  <sheetData>
    <row r="1" spans="1:3" x14ac:dyDescent="0.25">
      <c r="A1" t="s">
        <v>113</v>
      </c>
    </row>
    <row r="2" spans="1:3" x14ac:dyDescent="0.25">
      <c r="A2" t="s">
        <v>1</v>
      </c>
      <c r="B2" s="2">
        <f>+TINV(0.1,25)</f>
        <v>1.7081407612518986</v>
      </c>
    </row>
    <row r="3" spans="1:3" x14ac:dyDescent="0.25">
      <c r="A3" t="s">
        <v>3</v>
      </c>
      <c r="B3" s="2">
        <f>0.89*SQRT(27-2)/SQRT(1-0.89^2)</f>
        <v>9.7596168085699073</v>
      </c>
      <c r="C3" s="2">
        <f>0.89*5/SQRT(1-0.89^2)</f>
        <v>9.7596168085699073</v>
      </c>
    </row>
    <row r="4" spans="1:3" x14ac:dyDescent="0.25">
      <c r="A4" t="s">
        <v>6</v>
      </c>
      <c r="B4">
        <f>+TDIST(B3,27-2,1)</f>
        <v>2.6137139110377904E-10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showGridLines="0" topLeftCell="A7" workbookViewId="0">
      <selection activeCell="G17" sqref="G17"/>
    </sheetView>
  </sheetViews>
  <sheetFormatPr defaultRowHeight="12.75" x14ac:dyDescent="0.2"/>
  <cols>
    <col min="1" max="1" width="12.7109375" style="18" customWidth="1"/>
    <col min="2" max="2" width="11.7109375" style="18" bestFit="1" customWidth="1"/>
    <col min="3" max="3" width="9.5703125" style="18" bestFit="1" customWidth="1"/>
    <col min="4" max="4" width="10.7109375" style="18" bestFit="1" customWidth="1"/>
    <col min="5" max="5" width="7.42578125" style="18" customWidth="1"/>
    <col min="6" max="6" width="10" style="18" bestFit="1" customWidth="1"/>
    <col min="7" max="7" width="10.42578125" style="18" bestFit="1" customWidth="1"/>
    <col min="8" max="16384" width="9.140625" style="18"/>
  </cols>
  <sheetData>
    <row r="2" spans="1:9" ht="15" x14ac:dyDescent="0.2">
      <c r="A2" s="19" t="s">
        <v>115</v>
      </c>
    </row>
    <row r="4" spans="1:9" x14ac:dyDescent="0.2">
      <c r="B4" s="20" t="s">
        <v>116</v>
      </c>
      <c r="C4" s="22">
        <v>0.81028082462116857</v>
      </c>
      <c r="D4" s="21" t="s">
        <v>119</v>
      </c>
      <c r="E4" s="23">
        <v>10</v>
      </c>
    </row>
    <row r="5" spans="1:9" x14ac:dyDescent="0.2">
      <c r="B5" s="20" t="s">
        <v>117</v>
      </c>
      <c r="C5" s="22">
        <v>0.90015600015839958</v>
      </c>
      <c r="D5" s="21" t="s">
        <v>120</v>
      </c>
      <c r="E5" s="23">
        <v>1</v>
      </c>
    </row>
    <row r="6" spans="1:9" x14ac:dyDescent="0.2">
      <c r="B6" s="20" t="s">
        <v>118</v>
      </c>
      <c r="C6" s="22">
        <v>13.532421587964844</v>
      </c>
      <c r="D6" s="21" t="s">
        <v>121</v>
      </c>
      <c r="E6" s="24" t="s">
        <v>75</v>
      </c>
    </row>
    <row r="8" spans="1:9" x14ac:dyDescent="0.2">
      <c r="A8" s="18" t="s">
        <v>131</v>
      </c>
    </row>
    <row r="9" spans="1:9" x14ac:dyDescent="0.2">
      <c r="A9" s="31" t="s">
        <v>132</v>
      </c>
      <c r="B9" s="31" t="s">
        <v>133</v>
      </c>
      <c r="C9" s="44" t="s">
        <v>134</v>
      </c>
      <c r="D9" s="31" t="s">
        <v>92</v>
      </c>
      <c r="E9" s="31" t="s">
        <v>31</v>
      </c>
      <c r="F9" s="31" t="s">
        <v>127</v>
      </c>
    </row>
    <row r="10" spans="1:9" x14ac:dyDescent="0.2">
      <c r="A10" s="21" t="s">
        <v>87</v>
      </c>
      <c r="B10" s="42">
        <v>6256.988527724664</v>
      </c>
      <c r="C10" s="45">
        <v>1</v>
      </c>
      <c r="D10" s="26">
        <v>6256.988527724664</v>
      </c>
      <c r="E10" s="47">
        <v>34.16758787837653</v>
      </c>
      <c r="F10" s="28">
        <v>3.8482079788800964E-4</v>
      </c>
    </row>
    <row r="11" spans="1:9" x14ac:dyDescent="0.2">
      <c r="A11" s="21" t="s">
        <v>88</v>
      </c>
      <c r="B11" s="42">
        <v>1465.0114722753358</v>
      </c>
      <c r="C11" s="45">
        <v>8</v>
      </c>
      <c r="D11" s="26">
        <v>183.12643403441697</v>
      </c>
    </row>
    <row r="12" spans="1:9" x14ac:dyDescent="0.2">
      <c r="A12" s="41" t="s">
        <v>89</v>
      </c>
      <c r="B12" s="43">
        <v>7722</v>
      </c>
      <c r="C12" s="46">
        <v>9</v>
      </c>
      <c r="D12" s="40"/>
      <c r="E12" s="40"/>
      <c r="F12" s="40"/>
    </row>
    <row r="15" spans="1:9" x14ac:dyDescent="0.2">
      <c r="A15" s="18" t="s">
        <v>122</v>
      </c>
      <c r="D15" s="29"/>
      <c r="F15" s="38" t="s">
        <v>130</v>
      </c>
      <c r="G15" s="39"/>
      <c r="H15" s="29"/>
      <c r="I15" s="29"/>
    </row>
    <row r="16" spans="1:9" x14ac:dyDescent="0.2">
      <c r="A16" s="31" t="s">
        <v>123</v>
      </c>
      <c r="B16" s="31" t="s">
        <v>124</v>
      </c>
      <c r="C16" s="31" t="s">
        <v>125</v>
      </c>
      <c r="D16" s="32" t="s">
        <v>126</v>
      </c>
      <c r="E16" s="31" t="s">
        <v>127</v>
      </c>
      <c r="F16" s="31" t="s">
        <v>128</v>
      </c>
      <c r="G16" s="31" t="s">
        <v>129</v>
      </c>
      <c r="H16" s="29"/>
      <c r="I16" s="29"/>
    </row>
    <row r="17" spans="1:9" x14ac:dyDescent="0.2">
      <c r="A17" s="27" t="s">
        <v>90</v>
      </c>
      <c r="B17" s="25">
        <v>-9.4598470363288882</v>
      </c>
      <c r="C17" s="59">
        <v>10.56452004779619</v>
      </c>
      <c r="D17" s="59">
        <v>-0.89543557052572953</v>
      </c>
      <c r="E17" s="59">
        <v>0.39669619631336128</v>
      </c>
      <c r="F17" s="59">
        <v>-33.821673952994217</v>
      </c>
      <c r="G17" s="59">
        <v>14.901979880336441</v>
      </c>
      <c r="H17" s="59"/>
      <c r="I17" s="29"/>
    </row>
    <row r="18" spans="1:9" x14ac:dyDescent="0.2">
      <c r="A18" s="33" t="s">
        <v>74</v>
      </c>
      <c r="B18" s="34">
        <v>1.9335564053537291</v>
      </c>
      <c r="C18" s="35">
        <v>0.33078795387930099</v>
      </c>
      <c r="D18" s="36">
        <v>5.8453047720693352</v>
      </c>
      <c r="E18" s="37">
        <v>3.8482079788800932E-4</v>
      </c>
      <c r="F18" s="60">
        <v>1.1707580158323361</v>
      </c>
      <c r="G18" s="60">
        <v>2.6963547948751221</v>
      </c>
      <c r="H18" s="29"/>
      <c r="I18" s="29"/>
    </row>
    <row r="20" spans="1:9" x14ac:dyDescent="0.2">
      <c r="A20" s="58" t="s">
        <v>141</v>
      </c>
    </row>
    <row r="21" spans="1:9" x14ac:dyDescent="0.2">
      <c r="A21" s="49"/>
      <c r="B21" s="51"/>
      <c r="C21" s="53" t="s">
        <v>139</v>
      </c>
      <c r="D21" s="54"/>
      <c r="E21" s="53" t="s">
        <v>140</v>
      </c>
      <c r="F21" s="54"/>
      <c r="G21" s="30"/>
    </row>
    <row r="22" spans="1:9" x14ac:dyDescent="0.2">
      <c r="A22" s="50" t="s">
        <v>74</v>
      </c>
      <c r="B22" s="52" t="s">
        <v>138</v>
      </c>
      <c r="C22" s="52" t="s">
        <v>135</v>
      </c>
      <c r="D22" s="52" t="s">
        <v>136</v>
      </c>
      <c r="E22" s="52" t="s">
        <v>135</v>
      </c>
      <c r="F22" s="52" t="s">
        <v>136</v>
      </c>
      <c r="G22" s="48" t="s">
        <v>137</v>
      </c>
    </row>
    <row r="23" spans="1:9" x14ac:dyDescent="0.2">
      <c r="A23" s="55">
        <v>54</v>
      </c>
      <c r="B23" s="56">
        <v>94.952198852772483</v>
      </c>
      <c r="C23" s="60">
        <v>73.615649316745078</v>
      </c>
      <c r="D23" s="60">
        <v>116.28874838879989</v>
      </c>
      <c r="E23" s="60">
        <v>57.149400586154783</v>
      </c>
      <c r="F23" s="60">
        <v>132.75499711939017</v>
      </c>
      <c r="G23" s="57">
        <v>0.46749521988527742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H13" sqref="H13"/>
    </sheetView>
  </sheetViews>
  <sheetFormatPr defaultRowHeight="15" x14ac:dyDescent="0.25"/>
  <sheetData>
    <row r="1" spans="1:7" x14ac:dyDescent="0.25">
      <c r="A1" t="s">
        <v>114</v>
      </c>
      <c r="F1" t="s">
        <v>2</v>
      </c>
    </row>
    <row r="2" spans="1:7" x14ac:dyDescent="0.25">
      <c r="F2" t="s">
        <v>74</v>
      </c>
      <c r="G2" t="s">
        <v>75</v>
      </c>
    </row>
    <row r="3" spans="1:7" x14ac:dyDescent="0.25">
      <c r="F3">
        <v>43</v>
      </c>
      <c r="G3">
        <v>75</v>
      </c>
    </row>
    <row r="4" spans="1:7" x14ac:dyDescent="0.25">
      <c r="F4">
        <v>49</v>
      </c>
      <c r="G4">
        <v>108</v>
      </c>
    </row>
    <row r="5" spans="1:7" x14ac:dyDescent="0.25">
      <c r="F5">
        <v>44</v>
      </c>
      <c r="G5">
        <v>74</v>
      </c>
    </row>
    <row r="6" spans="1:7" x14ac:dyDescent="0.25">
      <c r="F6">
        <v>24</v>
      </c>
      <c r="G6">
        <v>31</v>
      </c>
    </row>
    <row r="7" spans="1:7" x14ac:dyDescent="0.25">
      <c r="F7">
        <v>34</v>
      </c>
      <c r="G7">
        <v>32</v>
      </c>
    </row>
    <row r="8" spans="1:7" x14ac:dyDescent="0.25">
      <c r="F8">
        <v>13</v>
      </c>
      <c r="G8">
        <v>24</v>
      </c>
    </row>
    <row r="9" spans="1:7" x14ac:dyDescent="0.25">
      <c r="F9">
        <v>13</v>
      </c>
      <c r="G9">
        <v>25</v>
      </c>
    </row>
    <row r="10" spans="1:7" x14ac:dyDescent="0.25">
      <c r="F10">
        <v>36</v>
      </c>
      <c r="G10">
        <v>50</v>
      </c>
    </row>
    <row r="11" spans="1:7" x14ac:dyDescent="0.25">
      <c r="F11">
        <v>18</v>
      </c>
      <c r="G11">
        <v>31</v>
      </c>
    </row>
    <row r="12" spans="1:7" x14ac:dyDescent="0.25">
      <c r="F12">
        <v>18</v>
      </c>
      <c r="G12">
        <v>20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10" zoomScale="85" zoomScaleNormal="85" workbookViewId="0">
      <selection activeCell="T24" sqref="T24:T25"/>
    </sheetView>
  </sheetViews>
  <sheetFormatPr defaultRowHeight="15" x14ac:dyDescent="0.25"/>
  <cols>
    <col min="8" max="8" width="10.7109375" bestFit="1" customWidth="1"/>
    <col min="16" max="16" width="12.28515625" customWidth="1"/>
    <col min="17" max="17" width="12" bestFit="1" customWidth="1"/>
  </cols>
  <sheetData>
    <row r="1" spans="1:14" x14ac:dyDescent="0.25">
      <c r="A1" t="s">
        <v>142</v>
      </c>
      <c r="F1" t="s">
        <v>143</v>
      </c>
      <c r="G1" t="s">
        <v>144</v>
      </c>
      <c r="H1" t="s">
        <v>145</v>
      </c>
      <c r="I1" t="s">
        <v>146</v>
      </c>
      <c r="K1" s="10"/>
      <c r="L1" s="10" t="s">
        <v>144</v>
      </c>
      <c r="M1" s="10" t="s">
        <v>145</v>
      </c>
      <c r="N1" s="10" t="s">
        <v>146</v>
      </c>
    </row>
    <row r="2" spans="1:14" x14ac:dyDescent="0.25">
      <c r="A2" t="s">
        <v>147</v>
      </c>
      <c r="B2" s="6">
        <f>FINV(0.05,2,22)</f>
        <v>3.4433567793667246</v>
      </c>
      <c r="F2">
        <v>1</v>
      </c>
      <c r="G2">
        <v>4.5999999999999996</v>
      </c>
      <c r="H2">
        <v>56.5</v>
      </c>
      <c r="I2">
        <v>6</v>
      </c>
      <c r="K2" s="8" t="s">
        <v>144</v>
      </c>
      <c r="L2" s="8">
        <v>1</v>
      </c>
      <c r="M2" s="8"/>
      <c r="N2" s="8"/>
    </row>
    <row r="3" spans="1:14" x14ac:dyDescent="0.25">
      <c r="F3">
        <v>2</v>
      </c>
      <c r="G3">
        <v>3.89</v>
      </c>
      <c r="H3">
        <v>44.4</v>
      </c>
      <c r="I3">
        <v>2</v>
      </c>
      <c r="K3" s="8" t="s">
        <v>145</v>
      </c>
      <c r="L3" s="13">
        <v>0.49702509470646633</v>
      </c>
      <c r="M3" s="8">
        <v>1</v>
      </c>
      <c r="N3" s="8"/>
    </row>
    <row r="4" spans="1:14" ht="15.75" thickBot="1" x14ac:dyDescent="0.3">
      <c r="F4">
        <v>3</v>
      </c>
      <c r="G4">
        <v>5.79</v>
      </c>
      <c r="H4">
        <v>113.2</v>
      </c>
      <c r="I4">
        <v>8</v>
      </c>
      <c r="K4" s="9" t="s">
        <v>146</v>
      </c>
      <c r="L4" s="61">
        <v>0.84434453213531724</v>
      </c>
      <c r="M4" s="61">
        <v>0.31882676444333702</v>
      </c>
      <c r="N4" s="9">
        <v>1</v>
      </c>
    </row>
    <row r="5" spans="1:14" x14ac:dyDescent="0.25">
      <c r="F5">
        <v>4</v>
      </c>
      <c r="G5">
        <v>6.57</v>
      </c>
      <c r="H5">
        <v>125.5</v>
      </c>
      <c r="I5">
        <v>7</v>
      </c>
    </row>
    <row r="6" spans="1:14" x14ac:dyDescent="0.25">
      <c r="F6">
        <v>5</v>
      </c>
      <c r="G6">
        <v>4.95</v>
      </c>
      <c r="H6">
        <v>69.099999999999994</v>
      </c>
      <c r="I6">
        <v>7</v>
      </c>
    </row>
    <row r="7" spans="1:14" x14ac:dyDescent="0.25">
      <c r="F7">
        <v>6</v>
      </c>
      <c r="G7">
        <v>5.52</v>
      </c>
      <c r="H7">
        <v>123.7</v>
      </c>
      <c r="I7">
        <v>6</v>
      </c>
      <c r="K7" t="s">
        <v>80</v>
      </c>
    </row>
    <row r="8" spans="1:14" ht="15.75" thickBot="1" x14ac:dyDescent="0.3">
      <c r="F8">
        <v>7</v>
      </c>
      <c r="G8">
        <v>5.07</v>
      </c>
      <c r="H8">
        <v>105.7</v>
      </c>
      <c r="I8">
        <v>6</v>
      </c>
    </row>
    <row r="9" spans="1:14" x14ac:dyDescent="0.25">
      <c r="F9">
        <v>8</v>
      </c>
      <c r="G9">
        <v>3.34</v>
      </c>
      <c r="H9">
        <v>88.2</v>
      </c>
      <c r="I9">
        <v>1</v>
      </c>
      <c r="K9" s="16" t="s">
        <v>81</v>
      </c>
      <c r="L9" s="16"/>
    </row>
    <row r="10" spans="1:14" x14ac:dyDescent="0.25">
      <c r="F10">
        <v>9</v>
      </c>
      <c r="G10">
        <v>6.42</v>
      </c>
      <c r="H10">
        <v>136.9</v>
      </c>
      <c r="I10">
        <v>9</v>
      </c>
      <c r="K10" s="8" t="s">
        <v>82</v>
      </c>
      <c r="L10" s="8">
        <v>0.87789250304736954</v>
      </c>
    </row>
    <row r="11" spans="1:14" x14ac:dyDescent="0.25">
      <c r="F11">
        <v>10</v>
      </c>
      <c r="G11">
        <v>4.4800000000000004</v>
      </c>
      <c r="H11">
        <v>65.3</v>
      </c>
      <c r="I11">
        <v>6</v>
      </c>
      <c r="K11" s="8" t="s">
        <v>83</v>
      </c>
      <c r="L11" s="8">
        <v>0.77069524690677582</v>
      </c>
    </row>
    <row r="12" spans="1:14" x14ac:dyDescent="0.25">
      <c r="F12">
        <v>11</v>
      </c>
      <c r="G12">
        <v>4.6100000000000003</v>
      </c>
      <c r="H12">
        <v>96.9</v>
      </c>
      <c r="I12">
        <v>6</v>
      </c>
      <c r="K12" s="8" t="s">
        <v>84</v>
      </c>
      <c r="L12" s="8">
        <v>0.74984936026193727</v>
      </c>
    </row>
    <row r="13" spans="1:14" x14ac:dyDescent="0.25">
      <c r="F13">
        <v>12</v>
      </c>
      <c r="G13">
        <v>4.43</v>
      </c>
      <c r="H13">
        <v>91.4</v>
      </c>
      <c r="I13">
        <v>5</v>
      </c>
      <c r="K13" s="8" t="s">
        <v>85</v>
      </c>
      <c r="L13" s="8">
        <v>0.45340476433911064</v>
      </c>
    </row>
    <row r="14" spans="1:14" ht="15.75" thickBot="1" x14ac:dyDescent="0.3">
      <c r="F14">
        <v>13</v>
      </c>
      <c r="G14">
        <v>3.88</v>
      </c>
      <c r="H14">
        <v>60.2</v>
      </c>
      <c r="I14">
        <v>3</v>
      </c>
      <c r="K14" s="9" t="s">
        <v>29</v>
      </c>
      <c r="L14" s="9">
        <v>25</v>
      </c>
    </row>
    <row r="15" spans="1:14" x14ac:dyDescent="0.25">
      <c r="F15">
        <v>14</v>
      </c>
      <c r="G15">
        <v>6.5</v>
      </c>
      <c r="H15">
        <v>92.9</v>
      </c>
      <c r="I15">
        <v>8</v>
      </c>
    </row>
    <row r="16" spans="1:14" ht="15.75" thickBot="1" x14ac:dyDescent="0.3">
      <c r="F16">
        <v>15</v>
      </c>
      <c r="G16">
        <v>4.59</v>
      </c>
      <c r="H16">
        <v>86.2</v>
      </c>
      <c r="I16">
        <v>6</v>
      </c>
      <c r="K16" t="s">
        <v>86</v>
      </c>
    </row>
    <row r="17" spans="6:20" x14ac:dyDescent="0.25">
      <c r="F17">
        <v>16</v>
      </c>
      <c r="G17">
        <v>4.66</v>
      </c>
      <c r="H17">
        <v>52.8</v>
      </c>
      <c r="I17">
        <v>3</v>
      </c>
      <c r="K17" s="10"/>
      <c r="L17" s="10" t="s">
        <v>30</v>
      </c>
      <c r="M17" s="10" t="s">
        <v>91</v>
      </c>
      <c r="N17" s="10" t="s">
        <v>92</v>
      </c>
      <c r="O17" s="10" t="s">
        <v>31</v>
      </c>
      <c r="P17" s="10" t="s">
        <v>93</v>
      </c>
    </row>
    <row r="18" spans="6:20" x14ac:dyDescent="0.25">
      <c r="F18">
        <v>17</v>
      </c>
      <c r="G18">
        <v>4.63</v>
      </c>
      <c r="H18">
        <v>87.7</v>
      </c>
      <c r="I18">
        <v>6</v>
      </c>
      <c r="K18" s="8" t="s">
        <v>87</v>
      </c>
      <c r="L18" s="8">
        <v>2</v>
      </c>
      <c r="M18" s="8">
        <v>15.2007306328411</v>
      </c>
      <c r="N18" s="8">
        <v>7.6003653164205502</v>
      </c>
      <c r="O18" s="8">
        <v>36.971094587507018</v>
      </c>
      <c r="P18" s="8">
        <v>9.2160246357426137E-8</v>
      </c>
      <c r="Q18">
        <f>+FDIST(O18,2,22)</f>
        <v>9.2160246357426137E-8</v>
      </c>
    </row>
    <row r="19" spans="6:20" x14ac:dyDescent="0.25">
      <c r="F19">
        <v>18</v>
      </c>
      <c r="G19">
        <v>6.09</v>
      </c>
      <c r="H19">
        <v>101</v>
      </c>
      <c r="I19">
        <v>7</v>
      </c>
      <c r="K19" s="8" t="s">
        <v>88</v>
      </c>
      <c r="L19" s="8">
        <v>22</v>
      </c>
      <c r="M19" s="8">
        <v>4.5226693671588976</v>
      </c>
      <c r="N19" s="8">
        <v>0.20557588032540444</v>
      </c>
      <c r="O19" s="8"/>
      <c r="P19" s="8"/>
    </row>
    <row r="20" spans="6:20" ht="15.75" thickBot="1" x14ac:dyDescent="0.3">
      <c r="F20">
        <v>19</v>
      </c>
      <c r="G20">
        <v>4.17</v>
      </c>
      <c r="H20">
        <v>75.2</v>
      </c>
      <c r="I20">
        <v>4</v>
      </c>
      <c r="K20" s="9" t="s">
        <v>89</v>
      </c>
      <c r="L20" s="9">
        <v>24</v>
      </c>
      <c r="M20" s="9">
        <v>19.723399999999998</v>
      </c>
      <c r="N20" s="9"/>
      <c r="O20" s="9"/>
      <c r="P20" s="9"/>
    </row>
    <row r="21" spans="6:20" ht="15.75" thickBot="1" x14ac:dyDescent="0.3">
      <c r="F21">
        <v>20</v>
      </c>
      <c r="G21">
        <v>4.8099999999999996</v>
      </c>
      <c r="H21">
        <v>80.3</v>
      </c>
      <c r="I21">
        <v>7</v>
      </c>
    </row>
    <row r="22" spans="6:20" x14ac:dyDescent="0.25">
      <c r="F22">
        <v>21</v>
      </c>
      <c r="G22">
        <v>4.93</v>
      </c>
      <c r="H22">
        <v>45.9</v>
      </c>
      <c r="I22">
        <v>7</v>
      </c>
      <c r="K22" s="10"/>
      <c r="L22" s="10" t="s">
        <v>94</v>
      </c>
      <c r="M22" s="10" t="s">
        <v>85</v>
      </c>
      <c r="N22" s="10" t="s">
        <v>37</v>
      </c>
      <c r="O22" s="10" t="s">
        <v>95</v>
      </c>
      <c r="P22" s="10" t="s">
        <v>96</v>
      </c>
      <c r="Q22" s="10" t="s">
        <v>97</v>
      </c>
      <c r="R22" s="10" t="s">
        <v>98</v>
      </c>
      <c r="S22" s="10" t="s">
        <v>99</v>
      </c>
    </row>
    <row r="23" spans="6:20" x14ac:dyDescent="0.25">
      <c r="F23">
        <v>22</v>
      </c>
      <c r="G23">
        <v>4.74</v>
      </c>
      <c r="H23">
        <v>59.7</v>
      </c>
      <c r="I23">
        <v>4</v>
      </c>
      <c r="K23" s="8" t="s">
        <v>90</v>
      </c>
      <c r="L23" s="13">
        <v>2.6444635721410319</v>
      </c>
      <c r="M23" s="8">
        <v>0.30983174557910198</v>
      </c>
      <c r="N23" s="8">
        <v>8.535160163134039</v>
      </c>
      <c r="O23" s="8">
        <v>1.9818680271527559E-8</v>
      </c>
      <c r="P23" s="8">
        <v>2.0019118594028402</v>
      </c>
      <c r="Q23" s="8">
        <v>3.2870152848792236</v>
      </c>
      <c r="R23" s="8">
        <v>2.0019118594028402</v>
      </c>
      <c r="S23" s="8">
        <v>3.2870152848792236</v>
      </c>
    </row>
    <row r="24" spans="6:20" x14ac:dyDescent="0.25">
      <c r="F24">
        <v>23</v>
      </c>
      <c r="G24">
        <v>5.85</v>
      </c>
      <c r="H24">
        <v>157.9</v>
      </c>
      <c r="I24">
        <v>8</v>
      </c>
      <c r="K24" s="8" t="s">
        <v>145</v>
      </c>
      <c r="L24" s="13">
        <v>6.6793129121635268E-3</v>
      </c>
      <c r="M24" s="8">
        <v>2.8369219456288921E-3</v>
      </c>
      <c r="N24" s="8">
        <v>2.3544225185521799</v>
      </c>
      <c r="O24" s="8">
        <v>2.7890527654520259E-2</v>
      </c>
      <c r="P24" s="8">
        <v>7.9589689337787855E-4</v>
      </c>
      <c r="Q24" s="8">
        <v>1.2562728930949174E-2</v>
      </c>
      <c r="R24" s="8">
        <v>7.9589689337787855E-4</v>
      </c>
      <c r="S24" s="8">
        <v>1.2562728930949174E-2</v>
      </c>
      <c r="T24">
        <f>+TDIST(N24,22,2)</f>
        <v>2.7890527654520259E-2</v>
      </c>
    </row>
    <row r="25" spans="6:20" ht="15.75" thickBot="1" x14ac:dyDescent="0.3">
      <c r="F25">
        <v>24</v>
      </c>
      <c r="G25">
        <v>6.25</v>
      </c>
      <c r="H25">
        <v>146.5</v>
      </c>
      <c r="I25">
        <v>9</v>
      </c>
      <c r="K25" s="9" t="s">
        <v>146</v>
      </c>
      <c r="L25" s="61">
        <v>0.30274393076231487</v>
      </c>
      <c r="M25" s="9">
        <v>4.2711555960753794E-2</v>
      </c>
      <c r="N25" s="9">
        <v>7.0881035343338006</v>
      </c>
      <c r="O25" s="9">
        <v>4.1405076508964473E-7</v>
      </c>
      <c r="P25" s="9">
        <v>0.21416558516703194</v>
      </c>
      <c r="Q25" s="9">
        <v>0.39132227635759781</v>
      </c>
      <c r="R25" s="9">
        <v>0.21416558516703194</v>
      </c>
      <c r="S25" s="9">
        <v>0.39132227635759781</v>
      </c>
      <c r="T25">
        <f>+TDIST(N25,22,2)</f>
        <v>4.1405076508964473E-7</v>
      </c>
    </row>
    <row r="26" spans="6:20" x14ac:dyDescent="0.25">
      <c r="F26">
        <v>25</v>
      </c>
      <c r="G26">
        <v>3.88</v>
      </c>
      <c r="H26">
        <v>164.8</v>
      </c>
      <c r="I26">
        <v>1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7" workbookViewId="0">
      <selection activeCell="I25" sqref="I25"/>
    </sheetView>
  </sheetViews>
  <sheetFormatPr defaultRowHeight="15" x14ac:dyDescent="0.25"/>
  <cols>
    <col min="5" max="5" width="12" bestFit="1" customWidth="1"/>
  </cols>
  <sheetData>
    <row r="1" spans="1:8" x14ac:dyDescent="0.25">
      <c r="A1" t="s">
        <v>148</v>
      </c>
      <c r="E1" t="s">
        <v>149</v>
      </c>
      <c r="F1">
        <v>-155</v>
      </c>
      <c r="G1">
        <v>1</v>
      </c>
      <c r="H1">
        <f>F1*G1</f>
        <v>-155</v>
      </c>
    </row>
    <row r="2" spans="1:8" x14ac:dyDescent="0.25">
      <c r="A2" t="s">
        <v>3</v>
      </c>
      <c r="B2">
        <f>-155+1300*4-30*6+8*8-100*6+0.6*8</f>
        <v>4333.8</v>
      </c>
      <c r="E2" t="s">
        <v>150</v>
      </c>
      <c r="F2">
        <v>1300</v>
      </c>
      <c r="G2">
        <v>4</v>
      </c>
      <c r="H2">
        <f t="shared" ref="H2:H6" si="0">F2*G2</f>
        <v>5200</v>
      </c>
    </row>
    <row r="3" spans="1:8" x14ac:dyDescent="0.25">
      <c r="E3" t="s">
        <v>151</v>
      </c>
      <c r="F3">
        <v>-30</v>
      </c>
      <c r="G3">
        <v>6</v>
      </c>
      <c r="H3">
        <f t="shared" si="0"/>
        <v>-180</v>
      </c>
    </row>
    <row r="4" spans="1:8" x14ac:dyDescent="0.25">
      <c r="E4" t="s">
        <v>152</v>
      </c>
      <c r="F4">
        <v>8</v>
      </c>
      <c r="G4">
        <v>8</v>
      </c>
      <c r="H4">
        <f t="shared" si="0"/>
        <v>64</v>
      </c>
    </row>
    <row r="5" spans="1:8" x14ac:dyDescent="0.25">
      <c r="E5" t="s">
        <v>153</v>
      </c>
      <c r="F5">
        <v>-100</v>
      </c>
      <c r="G5">
        <v>6</v>
      </c>
      <c r="H5">
        <f t="shared" si="0"/>
        <v>-600</v>
      </c>
    </row>
    <row r="6" spans="1:8" x14ac:dyDescent="0.25">
      <c r="E6" t="s">
        <v>154</v>
      </c>
      <c r="F6">
        <v>0.6</v>
      </c>
      <c r="G6">
        <v>8</v>
      </c>
      <c r="H6">
        <f t="shared" si="0"/>
        <v>4.8</v>
      </c>
    </row>
    <row r="9" spans="1:8" x14ac:dyDescent="0.25">
      <c r="B9">
        <f>1400/5</f>
        <v>280</v>
      </c>
      <c r="C9">
        <v>280</v>
      </c>
      <c r="H9">
        <f>SUM(H1:H8)</f>
        <v>4333.8</v>
      </c>
    </row>
    <row r="10" spans="1:8" x14ac:dyDescent="0.25">
      <c r="B10">
        <f>500/15</f>
        <v>33.333333333333336</v>
      </c>
      <c r="C10">
        <v>33.33</v>
      </c>
    </row>
    <row r="11" spans="1:8" x14ac:dyDescent="0.25">
      <c r="A11" t="s">
        <v>31</v>
      </c>
      <c r="B11">
        <f>+B9/B10</f>
        <v>8.3999999999999986</v>
      </c>
      <c r="C11">
        <f>+C9/C10</f>
        <v>8.4008400840084008</v>
      </c>
    </row>
    <row r="15" spans="1:8" x14ac:dyDescent="0.25">
      <c r="A15" t="s">
        <v>155</v>
      </c>
      <c r="B15">
        <f>+FINV(0.05,5,15)</f>
        <v>2.9012945362361564</v>
      </c>
    </row>
    <row r="16" spans="1:8" x14ac:dyDescent="0.25">
      <c r="A16" t="s">
        <v>156</v>
      </c>
      <c r="B16">
        <f>(1400/5)/(500/15)</f>
        <v>8.3999999999999986</v>
      </c>
    </row>
    <row r="18" spans="1:5" x14ac:dyDescent="0.25">
      <c r="A18" t="s">
        <v>157</v>
      </c>
      <c r="B18">
        <f>TINV(0.05,15)</f>
        <v>2.1314495455597742</v>
      </c>
    </row>
    <row r="21" spans="1:5" x14ac:dyDescent="0.25">
      <c r="A21" t="s">
        <v>55</v>
      </c>
      <c r="B21" t="s">
        <v>158</v>
      </c>
      <c r="C21" t="s">
        <v>159</v>
      </c>
      <c r="D21" t="s">
        <v>160</v>
      </c>
      <c r="E21" t="s">
        <v>161</v>
      </c>
    </row>
    <row r="22" spans="1:5" x14ac:dyDescent="0.25">
      <c r="A22" t="s">
        <v>150</v>
      </c>
      <c r="B22">
        <v>1300</v>
      </c>
      <c r="C22">
        <v>100</v>
      </c>
      <c r="D22" s="2">
        <f>B22/C22</f>
        <v>13</v>
      </c>
      <c r="E22">
        <f>+TDIST(ABS(D22),15,2)</f>
        <v>1.4369304143959017E-9</v>
      </c>
    </row>
    <row r="23" spans="1:5" x14ac:dyDescent="0.25">
      <c r="A23" t="s">
        <v>151</v>
      </c>
      <c r="B23">
        <v>-30</v>
      </c>
      <c r="C23">
        <v>60</v>
      </c>
      <c r="D23" s="2">
        <f t="shared" ref="D23:D26" si="1">B23/C23</f>
        <v>-0.5</v>
      </c>
      <c r="E23">
        <f t="shared" ref="E23:E26" si="2">+TDIST(ABS(D23),15,2)</f>
        <v>0.62433011352007639</v>
      </c>
    </row>
    <row r="24" spans="1:5" x14ac:dyDescent="0.25">
      <c r="A24" t="s">
        <v>152</v>
      </c>
      <c r="B24">
        <v>8</v>
      </c>
      <c r="C24">
        <v>4</v>
      </c>
      <c r="D24" s="2">
        <f t="shared" si="1"/>
        <v>2</v>
      </c>
      <c r="E24">
        <f t="shared" si="2"/>
        <v>6.3945007284720065E-2</v>
      </c>
    </row>
    <row r="25" spans="1:5" x14ac:dyDescent="0.25">
      <c r="A25" t="s">
        <v>153</v>
      </c>
      <c r="B25">
        <v>-100</v>
      </c>
      <c r="C25">
        <v>100</v>
      </c>
      <c r="D25" s="2">
        <f t="shared" si="1"/>
        <v>-1</v>
      </c>
      <c r="E25">
        <f t="shared" si="2"/>
        <v>0.33317013591547762</v>
      </c>
    </row>
    <row r="26" spans="1:5" x14ac:dyDescent="0.25">
      <c r="A26" t="s">
        <v>154</v>
      </c>
      <c r="B26">
        <v>0.6</v>
      </c>
      <c r="C26">
        <v>0.17</v>
      </c>
      <c r="D26" s="2">
        <f t="shared" si="1"/>
        <v>3.5294117647058818</v>
      </c>
      <c r="E26">
        <f t="shared" si="2"/>
        <v>3.0347475181819314E-3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13" workbookViewId="0">
      <selection activeCell="D24" sqref="D24:E27"/>
    </sheetView>
  </sheetViews>
  <sheetFormatPr defaultRowHeight="15" x14ac:dyDescent="0.25"/>
  <cols>
    <col min="2" max="2" width="9.5703125" bestFit="1" customWidth="1"/>
  </cols>
  <sheetData>
    <row r="1" spans="1:3" x14ac:dyDescent="0.25">
      <c r="A1" t="s">
        <v>162</v>
      </c>
    </row>
    <row r="2" spans="1:3" x14ac:dyDescent="0.25">
      <c r="A2" t="s">
        <v>1</v>
      </c>
      <c r="B2" s="6">
        <f>+FINV(0.05,6,19)</f>
        <v>2.628318038338513</v>
      </c>
    </row>
    <row r="3" spans="1:3" x14ac:dyDescent="0.25">
      <c r="B3">
        <f>505.11-114</f>
        <v>391.11</v>
      </c>
    </row>
    <row r="6" spans="1:3" x14ac:dyDescent="0.25">
      <c r="B6">
        <f>391.11/9</f>
        <v>43.456666666666671</v>
      </c>
      <c r="C6">
        <v>43.46</v>
      </c>
    </row>
    <row r="7" spans="1:3" x14ac:dyDescent="0.25">
      <c r="B7">
        <f>+B6/6</f>
        <v>7.2427777777777784</v>
      </c>
      <c r="C7">
        <f>+C6/6</f>
        <v>7.2433333333333332</v>
      </c>
    </row>
    <row r="11" spans="1:3" x14ac:dyDescent="0.25">
      <c r="B11">
        <f>391.11/6</f>
        <v>65.185000000000002</v>
      </c>
      <c r="C11">
        <v>65.19</v>
      </c>
    </row>
    <row r="12" spans="1:3" x14ac:dyDescent="0.25">
      <c r="B12">
        <f>+B11/6</f>
        <v>10.864166666666668</v>
      </c>
      <c r="C12">
        <f>+C11/6</f>
        <v>10.865</v>
      </c>
    </row>
    <row r="19" spans="1:7" x14ac:dyDescent="0.25">
      <c r="A19">
        <f>391.11+114</f>
        <v>505.11</v>
      </c>
    </row>
    <row r="20" spans="1:7" x14ac:dyDescent="0.25">
      <c r="A20" t="s">
        <v>163</v>
      </c>
    </row>
    <row r="21" spans="1:7" x14ac:dyDescent="0.25">
      <c r="A21">
        <v>391.11</v>
      </c>
    </row>
    <row r="23" spans="1:7" x14ac:dyDescent="0.25">
      <c r="D23" t="s">
        <v>91</v>
      </c>
      <c r="E23" t="s">
        <v>30</v>
      </c>
      <c r="F23" t="s">
        <v>92</v>
      </c>
      <c r="G23" t="s">
        <v>31</v>
      </c>
    </row>
    <row r="24" spans="1:7" x14ac:dyDescent="0.25">
      <c r="D24">
        <v>391.11</v>
      </c>
      <c r="E24">
        <v>6</v>
      </c>
      <c r="F24">
        <f>D24/E24</f>
        <v>65.185000000000002</v>
      </c>
      <c r="G24">
        <f>+F24/F25</f>
        <v>10.864166666666668</v>
      </c>
    </row>
    <row r="25" spans="1:7" x14ac:dyDescent="0.25">
      <c r="D25">
        <v>114</v>
      </c>
      <c r="E25">
        <v>19</v>
      </c>
      <c r="F25">
        <f>D25/E25</f>
        <v>6</v>
      </c>
    </row>
    <row r="27" spans="1:7" x14ac:dyDescent="0.25">
      <c r="D27">
        <f>SUM(D24:D26)</f>
        <v>505.11</v>
      </c>
      <c r="E27">
        <f>SUM(E24:E26)</f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Q18</vt:lpstr>
      <vt:lpstr>Q19</vt:lpstr>
      <vt:lpstr>Q20</vt:lpstr>
      <vt:lpstr>Q21</vt:lpstr>
      <vt:lpstr>Q22</vt:lpstr>
      <vt:lpstr>Q23</vt:lpstr>
      <vt:lpstr>Q24</vt:lpstr>
      <vt:lpstr>Q25</vt:lpstr>
      <vt:lpstr>Q26</vt:lpstr>
      <vt:lpstr>Q27</vt:lpstr>
      <vt:lpstr>Q28</vt:lpstr>
      <vt:lpstr>Q29</vt:lpstr>
      <vt:lpstr>Q30</vt:lpstr>
      <vt:lpstr>Q31</vt:lpstr>
      <vt:lpstr>Q32</vt:lpstr>
      <vt:lpstr>Q33</vt:lpstr>
      <vt:lpstr>Q34</vt:lpstr>
      <vt:lpstr>Q35</vt:lpstr>
      <vt:lpstr>Q36</vt:lpstr>
      <vt:lpstr>Q37</vt:lpstr>
      <vt:lpstr>Q38</vt:lpstr>
      <vt:lpstr>Q39</vt:lpstr>
      <vt:lpstr>Q40</vt:lpstr>
      <vt:lpstr>Q41</vt:lpstr>
      <vt:lpstr>Output for 42</vt:lpstr>
      <vt:lpstr>Q42</vt:lpstr>
      <vt:lpstr>Q43</vt:lpstr>
      <vt:lpstr>Q44</vt:lpstr>
      <vt:lpstr>Q45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2018-08-18T22:48:25Z</dcterms:created>
  <dcterms:modified xsi:type="dcterms:W3CDTF">2018-08-19T23:22:19Z</dcterms:modified>
</cp:coreProperties>
</file>